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170237\Desktop\Bond Model_20220623\20220628_BondModel\"/>
    </mc:Choice>
  </mc:AlternateContent>
  <xr:revisionPtr revIDLastSave="0" documentId="13_ncr:1_{9536FB1B-1978-4947-B256-B697AFBCC421}" xr6:coauthVersionLast="47" xr6:coauthVersionMax="47" xr10:uidLastSave="{00000000-0000-0000-0000-000000000000}"/>
  <bookViews>
    <workbookView xWindow="-120" yWindow="-120" windowWidth="20730" windowHeight="11160" activeTab="2" xr2:uid="{EAF6BC38-0A9C-40D6-B308-64A1E2EE45C0}"/>
  </bookViews>
  <sheets>
    <sheet name="Bond Summary" sheetId="12" r:id="rId1"/>
    <sheet name="Step1 - Def and Mod Analysis" sheetId="1" r:id="rId2"/>
    <sheet name="Step2 - LRP Facility Strat" sheetId="23" r:id="rId3"/>
    <sheet name="Non Campus" sheetId="10" r:id="rId4"/>
    <sheet name="LRP Tier Groupings" sheetId="4" r:id="rId5"/>
    <sheet name="NPV Analysis" sheetId="3" r:id="rId6"/>
    <sheet name="Assumptions" sheetId="21" r:id="rId7"/>
    <sheet name="SS&amp;R" sheetId="25" r:id="rId8"/>
    <sheet name="BREAKOUT" sheetId="24" r:id="rId9"/>
  </sheets>
  <externalReferences>
    <externalReference r:id="rId10"/>
  </externalReferences>
  <definedNames>
    <definedName name="_xlnm._FilterDatabase" localSheetId="5" hidden="1">'NPV Analysis'!$A$8:$Q$123</definedName>
    <definedName name="_xlnm._FilterDatabase" localSheetId="1" hidden="1">'Step1 - Def and Mod Analysis'!$A$9:$U$123</definedName>
    <definedName name="_xlnm.Print_Titles" localSheetId="4">'LRP Tier Groupings'!$1:$3</definedName>
    <definedName name="_xlnm.Print_Titles" localSheetId="5">'NPV Analysis'!$8:$8</definedName>
    <definedName name="_xlnm.Print_Titles" localSheetId="1">'Step1 - Def and Mod Analysis'!$6:$8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2" l="1"/>
  <c r="F31" i="10" l="1"/>
  <c r="F11" i="10"/>
  <c r="C122" i="12" s="1"/>
  <c r="F3" i="10"/>
  <c r="C120" i="12" l="1"/>
  <c r="C121" i="12"/>
  <c r="A6" i="12"/>
  <c r="A7" i="12"/>
  <c r="C7" i="12"/>
  <c r="A8" i="12"/>
  <c r="A9" i="12"/>
  <c r="A10" i="12"/>
  <c r="C10" i="12"/>
  <c r="A11" i="12"/>
  <c r="C11" i="12"/>
  <c r="A12" i="12"/>
  <c r="C12" i="12"/>
  <c r="A13" i="12"/>
  <c r="C13" i="12"/>
  <c r="A14" i="12"/>
  <c r="A15" i="12"/>
  <c r="A16" i="12"/>
  <c r="A17" i="12"/>
  <c r="C17" i="12"/>
  <c r="A18" i="12"/>
  <c r="A19" i="12"/>
  <c r="C19" i="12"/>
  <c r="A20" i="12"/>
  <c r="A21" i="12"/>
  <c r="C21" i="12"/>
  <c r="A22" i="12"/>
  <c r="C22" i="12"/>
  <c r="A23" i="12"/>
  <c r="C23" i="12"/>
  <c r="A24" i="12"/>
  <c r="C24" i="12"/>
  <c r="A25" i="12"/>
  <c r="C25" i="12"/>
  <c r="A26" i="12"/>
  <c r="A27" i="12"/>
  <c r="C27" i="12"/>
  <c r="A28" i="12"/>
  <c r="A29" i="12"/>
  <c r="C29" i="12"/>
  <c r="A30" i="12"/>
  <c r="C30" i="12"/>
  <c r="A31" i="12"/>
  <c r="C31" i="12"/>
  <c r="A32" i="12"/>
  <c r="C32" i="12"/>
  <c r="A33" i="12"/>
  <c r="A34" i="12"/>
  <c r="A35" i="12"/>
  <c r="C35" i="12"/>
  <c r="A36" i="12"/>
  <c r="C36" i="12"/>
  <c r="A37" i="12"/>
  <c r="A38" i="12"/>
  <c r="C38" i="12"/>
  <c r="A39" i="12"/>
  <c r="A40" i="12"/>
  <c r="A41" i="12"/>
  <c r="C41" i="12"/>
  <c r="A42" i="12"/>
  <c r="C42" i="12"/>
  <c r="A43" i="12"/>
  <c r="A44" i="12"/>
  <c r="A45" i="12"/>
  <c r="C45" i="12"/>
  <c r="A46" i="12"/>
  <c r="C46" i="12"/>
  <c r="A47" i="12"/>
  <c r="C47" i="12"/>
  <c r="A48" i="12"/>
  <c r="A49" i="12"/>
  <c r="A50" i="12"/>
  <c r="A51" i="12"/>
  <c r="C51" i="12"/>
  <c r="A52" i="12"/>
  <c r="A53" i="12"/>
  <c r="A54" i="12"/>
  <c r="C54" i="12"/>
  <c r="A55" i="12"/>
  <c r="A56" i="12"/>
  <c r="A57" i="12"/>
  <c r="A58" i="12"/>
  <c r="C58" i="12"/>
  <c r="A59" i="12"/>
  <c r="C59" i="12"/>
  <c r="A60" i="12"/>
  <c r="C60" i="12"/>
  <c r="A61" i="12"/>
  <c r="C61" i="12"/>
  <c r="A62" i="12"/>
  <c r="C62" i="12"/>
  <c r="A63" i="12"/>
  <c r="A64" i="12"/>
  <c r="A65" i="12"/>
  <c r="A66" i="12"/>
  <c r="A67" i="12"/>
  <c r="A68" i="12"/>
  <c r="A69" i="12"/>
  <c r="C69" i="12"/>
  <c r="A70" i="12"/>
  <c r="A71" i="12"/>
  <c r="A72" i="12"/>
  <c r="A73" i="12"/>
  <c r="C73" i="12"/>
  <c r="A74" i="12"/>
  <c r="C74" i="12"/>
  <c r="A75" i="12"/>
  <c r="A76" i="12"/>
  <c r="C76" i="12"/>
  <c r="A77" i="12"/>
  <c r="C77" i="12"/>
  <c r="A78" i="12"/>
  <c r="A79" i="12"/>
  <c r="A80" i="12"/>
  <c r="A81" i="12"/>
  <c r="C81" i="12"/>
  <c r="A82" i="12"/>
  <c r="C82" i="12"/>
  <c r="A83" i="12"/>
  <c r="A84" i="12"/>
  <c r="A85" i="12"/>
  <c r="A86" i="12"/>
  <c r="A87" i="12"/>
  <c r="A88" i="12"/>
  <c r="A89" i="12"/>
  <c r="C89" i="12"/>
  <c r="A90" i="12"/>
  <c r="C90" i="12"/>
  <c r="A91" i="12"/>
  <c r="A92" i="12"/>
  <c r="A93" i="12"/>
  <c r="A94" i="12"/>
  <c r="A95" i="12"/>
  <c r="C95" i="12"/>
  <c r="A96" i="12"/>
  <c r="A97" i="12"/>
  <c r="A98" i="12"/>
  <c r="C98" i="12"/>
  <c r="A99" i="12"/>
  <c r="C99" i="12"/>
  <c r="A100" i="12"/>
  <c r="A101" i="12"/>
  <c r="C101" i="12"/>
  <c r="A102" i="12"/>
  <c r="A103" i="12"/>
  <c r="A104" i="12"/>
  <c r="C104" i="12"/>
  <c r="A105" i="12"/>
  <c r="A106" i="12"/>
  <c r="C106" i="12"/>
  <c r="A107" i="12"/>
  <c r="C107" i="12"/>
  <c r="A108" i="12"/>
  <c r="A109" i="12"/>
  <c r="A110" i="12"/>
  <c r="A111" i="12"/>
  <c r="A112" i="12"/>
  <c r="C112" i="12"/>
  <c r="A113" i="12"/>
  <c r="A114" i="12"/>
  <c r="C114" i="12"/>
  <c r="A115" i="12"/>
  <c r="A116" i="12"/>
  <c r="A117" i="12"/>
  <c r="A118" i="12"/>
  <c r="A119" i="12"/>
  <c r="C119" i="12"/>
  <c r="A5" i="12"/>
  <c r="X7" i="23"/>
  <c r="X9" i="23"/>
  <c r="X11" i="23"/>
  <c r="X13" i="23"/>
  <c r="X15" i="23"/>
  <c r="X17" i="23"/>
  <c r="X19" i="23"/>
  <c r="X21" i="23"/>
  <c r="X23" i="23"/>
  <c r="X25" i="23"/>
  <c r="X27" i="23"/>
  <c r="X29" i="23"/>
  <c r="X31" i="23"/>
  <c r="X33" i="23"/>
  <c r="X35" i="23"/>
  <c r="X37" i="23"/>
  <c r="X39" i="23"/>
  <c r="X41" i="23"/>
  <c r="X43" i="23"/>
  <c r="X45" i="23"/>
  <c r="X47" i="23"/>
  <c r="X49" i="23"/>
  <c r="X51" i="23"/>
  <c r="X53" i="23"/>
  <c r="X55" i="23"/>
  <c r="X57" i="23"/>
  <c r="X59" i="23"/>
  <c r="X61" i="23"/>
  <c r="X63" i="23"/>
  <c r="X65" i="23"/>
  <c r="X67" i="23"/>
  <c r="X69" i="23"/>
  <c r="X71" i="23"/>
  <c r="X73" i="23"/>
  <c r="X75" i="23"/>
  <c r="X77" i="23"/>
  <c r="X79" i="23"/>
  <c r="X81" i="23"/>
  <c r="X83" i="23"/>
  <c r="X85" i="23"/>
  <c r="X87" i="23"/>
  <c r="X89" i="23"/>
  <c r="X91" i="23"/>
  <c r="X93" i="23"/>
  <c r="X95" i="23"/>
  <c r="X97" i="23"/>
  <c r="X99" i="23"/>
  <c r="X101" i="23"/>
  <c r="X103" i="23"/>
  <c r="X105" i="23"/>
  <c r="X107" i="23"/>
  <c r="X109" i="23"/>
  <c r="X111" i="23"/>
  <c r="X113" i="23"/>
  <c r="X115" i="23"/>
  <c r="X117" i="23"/>
  <c r="X119" i="23"/>
  <c r="X121" i="23"/>
  <c r="X123" i="23"/>
  <c r="X125" i="23"/>
  <c r="X127" i="23"/>
  <c r="X129" i="23"/>
  <c r="X131" i="23"/>
  <c r="X133" i="23"/>
  <c r="X135" i="23"/>
  <c r="X137" i="23"/>
  <c r="X139" i="23"/>
  <c r="X141" i="23"/>
  <c r="X143" i="23"/>
  <c r="X145" i="23"/>
  <c r="X147" i="23"/>
  <c r="X149" i="23"/>
  <c r="X151" i="23"/>
  <c r="X153" i="23"/>
  <c r="X155" i="23"/>
  <c r="X157" i="23"/>
  <c r="X159" i="23"/>
  <c r="X161" i="23"/>
  <c r="X163" i="23"/>
  <c r="X165" i="23"/>
  <c r="X167" i="23"/>
  <c r="X169" i="23"/>
  <c r="X171" i="23"/>
  <c r="X173" i="23"/>
  <c r="X175" i="23"/>
  <c r="X177" i="23"/>
  <c r="X179" i="23"/>
  <c r="X181" i="23"/>
  <c r="X183" i="23"/>
  <c r="X185" i="23"/>
  <c r="X187" i="23"/>
  <c r="X189" i="23"/>
  <c r="X191" i="23"/>
  <c r="X193" i="23"/>
  <c r="X195" i="23"/>
  <c r="X197" i="23"/>
  <c r="X199" i="23"/>
  <c r="X201" i="23"/>
  <c r="X203" i="23"/>
  <c r="X205" i="23"/>
  <c r="X207" i="23"/>
  <c r="X209" i="23"/>
  <c r="X211" i="23"/>
  <c r="X213" i="23"/>
  <c r="X215" i="23"/>
  <c r="X217" i="23"/>
  <c r="X219" i="23"/>
  <c r="X221" i="23"/>
  <c r="X223" i="23"/>
  <c r="X225" i="23"/>
  <c r="X227" i="23"/>
  <c r="X229" i="23"/>
  <c r="X231" i="23"/>
  <c r="X233" i="23"/>
  <c r="X5" i="23"/>
  <c r="E89" i="25"/>
  <c r="S251" i="24" l="1"/>
  <c r="P251" i="24"/>
  <c r="F250" i="24"/>
  <c r="O250" i="24" s="1"/>
  <c r="F246" i="24"/>
  <c r="F242" i="24"/>
  <c r="F241" i="24"/>
  <c r="C241" i="24"/>
  <c r="F240" i="24"/>
  <c r="F239" i="24"/>
  <c r="F236" i="24"/>
  <c r="F235" i="24"/>
  <c r="F234" i="24"/>
  <c r="F233" i="24"/>
  <c r="C233" i="24"/>
  <c r="F232" i="24"/>
  <c r="C232" i="24"/>
  <c r="F231" i="24"/>
  <c r="S225" i="24"/>
  <c r="P225" i="24"/>
  <c r="E221" i="24"/>
  <c r="E220" i="24"/>
  <c r="F220" i="24" s="1"/>
  <c r="F216" i="24"/>
  <c r="F215" i="24"/>
  <c r="C215" i="24"/>
  <c r="F214" i="24"/>
  <c r="C214" i="24"/>
  <c r="F213" i="24"/>
  <c r="F210" i="24"/>
  <c r="F209" i="24"/>
  <c r="F208" i="24"/>
  <c r="F207" i="24"/>
  <c r="F206" i="24"/>
  <c r="F224" i="24" s="1"/>
  <c r="S201" i="24"/>
  <c r="P201" i="24"/>
  <c r="F196" i="24"/>
  <c r="F192" i="24"/>
  <c r="C192" i="24"/>
  <c r="F191" i="24"/>
  <c r="C191" i="24"/>
  <c r="C190" i="24"/>
  <c r="F190" i="24" s="1"/>
  <c r="F189" i="24"/>
  <c r="F186" i="24"/>
  <c r="F185" i="24"/>
  <c r="F184" i="24"/>
  <c r="F183" i="24"/>
  <c r="F182" i="24"/>
  <c r="S178" i="24"/>
  <c r="P178" i="24"/>
  <c r="E173" i="24"/>
  <c r="E172" i="24"/>
  <c r="F172" i="24" s="1"/>
  <c r="F169" i="24"/>
  <c r="F168" i="24"/>
  <c r="C168" i="24"/>
  <c r="F167" i="24"/>
  <c r="C167" i="24"/>
  <c r="F166" i="24"/>
  <c r="F163" i="24"/>
  <c r="F162" i="24"/>
  <c r="F161" i="24"/>
  <c r="F160" i="24"/>
  <c r="F159" i="24"/>
  <c r="S154" i="24"/>
  <c r="P154" i="24"/>
  <c r="F148" i="24"/>
  <c r="F145" i="24"/>
  <c r="C144" i="24"/>
  <c r="F144" i="24" s="1"/>
  <c r="C143" i="24"/>
  <c r="F143" i="24" s="1"/>
  <c r="F142" i="24"/>
  <c r="F139" i="24"/>
  <c r="F138" i="24"/>
  <c r="F137" i="24"/>
  <c r="F136" i="24"/>
  <c r="F135" i="24"/>
  <c r="S131" i="24"/>
  <c r="P131" i="24"/>
  <c r="F125" i="24"/>
  <c r="C122" i="24"/>
  <c r="F122" i="24" s="1"/>
  <c r="C121" i="24"/>
  <c r="F121" i="24" s="1"/>
  <c r="F120" i="24"/>
  <c r="C120" i="24"/>
  <c r="F119" i="24"/>
  <c r="F116" i="24"/>
  <c r="F115" i="24"/>
  <c r="F114" i="24"/>
  <c r="F113" i="24"/>
  <c r="F112" i="24"/>
  <c r="S107" i="24"/>
  <c r="P107" i="24"/>
  <c r="F101" i="24"/>
  <c r="F98" i="24"/>
  <c r="C98" i="24"/>
  <c r="F97" i="24"/>
  <c r="C97" i="24"/>
  <c r="C96" i="24"/>
  <c r="F96" i="24" s="1"/>
  <c r="F95" i="24"/>
  <c r="F92" i="24"/>
  <c r="F91" i="24"/>
  <c r="F90" i="24"/>
  <c r="F89" i="24"/>
  <c r="F88" i="24"/>
  <c r="F106" i="24" s="1"/>
  <c r="S83" i="24"/>
  <c r="P83" i="24"/>
  <c r="F77" i="24"/>
  <c r="F76" i="24"/>
  <c r="C76" i="24"/>
  <c r="F75" i="24"/>
  <c r="F74" i="24"/>
  <c r="F71" i="24"/>
  <c r="F70" i="24"/>
  <c r="F69" i="24"/>
  <c r="F82" i="24" s="1"/>
  <c r="S62" i="24"/>
  <c r="P62" i="24"/>
  <c r="F56" i="24"/>
  <c r="F54" i="24"/>
  <c r="C53" i="24"/>
  <c r="C55" i="24" s="1"/>
  <c r="F55" i="24" s="1"/>
  <c r="F50" i="24"/>
  <c r="F49" i="24"/>
  <c r="C49" i="24"/>
  <c r="F48" i="24"/>
  <c r="S43" i="24"/>
  <c r="P43" i="24"/>
  <c r="F37" i="24"/>
  <c r="C36" i="24"/>
  <c r="F36" i="24" s="1"/>
  <c r="F35" i="24"/>
  <c r="F34" i="24"/>
  <c r="F31" i="24"/>
  <c r="F30" i="24"/>
  <c r="F42" i="24" s="1"/>
  <c r="F29" i="24"/>
  <c r="S25" i="24"/>
  <c r="P25" i="24"/>
  <c r="F19" i="24"/>
  <c r="C18" i="24"/>
  <c r="F18" i="24" s="1"/>
  <c r="F17" i="24"/>
  <c r="F16" i="24"/>
  <c r="F13" i="24"/>
  <c r="F12" i="24"/>
  <c r="F11" i="24"/>
  <c r="F24" i="24" s="1"/>
  <c r="N106" i="24" l="1"/>
  <c r="M106" i="24"/>
  <c r="L106" i="24"/>
  <c r="F107" i="24"/>
  <c r="P155" i="24" s="1"/>
  <c r="K106" i="24"/>
  <c r="J106" i="24"/>
  <c r="I106" i="24"/>
  <c r="H106" i="24"/>
  <c r="T106" i="24"/>
  <c r="G106" i="24"/>
  <c r="O106" i="24"/>
  <c r="K42" i="24"/>
  <c r="J42" i="24"/>
  <c r="F43" i="24"/>
  <c r="I42" i="24"/>
  <c r="H42" i="24"/>
  <c r="G42" i="24"/>
  <c r="M42" i="24"/>
  <c r="T42" i="24"/>
  <c r="O42" i="24"/>
  <c r="L42" i="24"/>
  <c r="N42" i="24"/>
  <c r="F130" i="24"/>
  <c r="I82" i="24"/>
  <c r="H82" i="24"/>
  <c r="G82" i="24"/>
  <c r="T82" i="24"/>
  <c r="O82" i="24"/>
  <c r="N82" i="24"/>
  <c r="M82" i="24"/>
  <c r="F83" i="24"/>
  <c r="P84" i="24" s="1"/>
  <c r="L82" i="24"/>
  <c r="K82" i="24"/>
  <c r="J82" i="24"/>
  <c r="F200" i="24"/>
  <c r="F225" i="24"/>
  <c r="P226" i="24" s="1"/>
  <c r="K224" i="24"/>
  <c r="J224" i="24"/>
  <c r="I224" i="24"/>
  <c r="H224" i="24"/>
  <c r="G224" i="24"/>
  <c r="T224" i="24"/>
  <c r="L224" i="24"/>
  <c r="O224" i="24"/>
  <c r="M224" i="24"/>
  <c r="N224" i="24"/>
  <c r="F61" i="24"/>
  <c r="I24" i="24"/>
  <c r="H24" i="24"/>
  <c r="G24" i="24"/>
  <c r="T24" i="24"/>
  <c r="O24" i="24"/>
  <c r="L24" i="24"/>
  <c r="K24" i="24"/>
  <c r="N24" i="24"/>
  <c r="F25" i="24"/>
  <c r="P44" i="24" s="1"/>
  <c r="M24" i="24"/>
  <c r="J24" i="24"/>
  <c r="F153" i="24"/>
  <c r="F177" i="24"/>
  <c r="F53" i="24"/>
  <c r="H250" i="24"/>
  <c r="G250" i="24"/>
  <c r="I250" i="24"/>
  <c r="T250" i="24"/>
  <c r="J250" i="24"/>
  <c r="K250" i="24"/>
  <c r="F251" i="24"/>
  <c r="P252" i="24" s="1"/>
  <c r="L250" i="24"/>
  <c r="M250" i="24"/>
  <c r="N250" i="24"/>
  <c r="L2" i="24" l="1"/>
  <c r="K2" i="24"/>
  <c r="J2" i="24"/>
  <c r="I2" i="24"/>
  <c r="H2" i="24"/>
  <c r="Q2" i="24"/>
  <c r="G2" i="24"/>
  <c r="N2" i="24"/>
  <c r="P2" i="24"/>
  <c r="F2" i="24"/>
  <c r="M2" i="24"/>
  <c r="O2" i="24"/>
  <c r="AI42" i="24"/>
  <c r="AC42" i="24"/>
  <c r="AB42" i="24"/>
  <c r="V42" i="24"/>
  <c r="AV42" i="24"/>
  <c r="U42" i="24"/>
  <c r="AU42" i="24"/>
  <c r="AS42" i="24"/>
  <c r="AL42" i="24"/>
  <c r="AP42" i="24"/>
  <c r="AK42" i="24"/>
  <c r="J130" i="24"/>
  <c r="I130" i="24"/>
  <c r="H130" i="24"/>
  <c r="F131" i="24"/>
  <c r="G130" i="24"/>
  <c r="K130" i="24"/>
  <c r="T130" i="24"/>
  <c r="O130" i="24"/>
  <c r="N130" i="24"/>
  <c r="M130" i="24"/>
  <c r="L130" i="24"/>
  <c r="F178" i="24"/>
  <c r="K177" i="24"/>
  <c r="J177" i="24"/>
  <c r="I177" i="24"/>
  <c r="H177" i="24"/>
  <c r="G177" i="24"/>
  <c r="T177" i="24"/>
  <c r="O177" i="24"/>
  <c r="N177" i="24"/>
  <c r="M177" i="24"/>
  <c r="L177" i="24"/>
  <c r="AI224" i="24"/>
  <c r="AC224" i="24"/>
  <c r="AB224" i="24"/>
  <c r="V224" i="24"/>
  <c r="AV224" i="24"/>
  <c r="U224" i="24"/>
  <c r="AU224" i="24"/>
  <c r="AS224" i="24"/>
  <c r="AP224" i="24"/>
  <c r="AL224" i="24"/>
  <c r="AK224" i="24"/>
  <c r="V82" i="24"/>
  <c r="AV82" i="24"/>
  <c r="U82" i="24"/>
  <c r="AU82" i="24"/>
  <c r="AS82" i="24"/>
  <c r="AP82" i="24"/>
  <c r="AL82" i="24"/>
  <c r="AI82" i="24"/>
  <c r="AC82" i="24"/>
  <c r="AB82" i="24"/>
  <c r="AK82" i="24"/>
  <c r="AP106" i="24"/>
  <c r="AL106" i="24"/>
  <c r="AK106" i="24"/>
  <c r="AI106" i="24"/>
  <c r="AC106" i="24"/>
  <c r="AB106" i="24"/>
  <c r="AS106" i="24"/>
  <c r="V106" i="24"/>
  <c r="AV106" i="24"/>
  <c r="U106" i="24"/>
  <c r="AU106" i="24"/>
  <c r="AS250" i="24"/>
  <c r="AP250" i="24"/>
  <c r="AL250" i="24"/>
  <c r="AK250" i="24"/>
  <c r="AI250" i="24"/>
  <c r="AC250" i="24"/>
  <c r="AB250" i="24"/>
  <c r="V250" i="24"/>
  <c r="AV250" i="24"/>
  <c r="U250" i="24"/>
  <c r="AU250" i="24"/>
  <c r="I61" i="24"/>
  <c r="H61" i="24"/>
  <c r="G61" i="24"/>
  <c r="T61" i="24"/>
  <c r="O61" i="24"/>
  <c r="J61" i="24"/>
  <c r="N61" i="24"/>
  <c r="M61" i="24"/>
  <c r="K61" i="24"/>
  <c r="L61" i="24"/>
  <c r="F62" i="24"/>
  <c r="P63" i="24" s="1"/>
  <c r="AB24" i="24"/>
  <c r="V24" i="24"/>
  <c r="AC24" i="24"/>
  <c r="AV24" i="24"/>
  <c r="U24" i="24"/>
  <c r="AS24" i="24"/>
  <c r="AI24" i="24"/>
  <c r="AU24" i="24"/>
  <c r="AK24" i="24"/>
  <c r="AP24" i="24"/>
  <c r="AL24" i="24"/>
  <c r="G200" i="24"/>
  <c r="T200" i="24"/>
  <c r="O200" i="24"/>
  <c r="N200" i="24"/>
  <c r="M200" i="24"/>
  <c r="L200" i="24"/>
  <c r="F201" i="24"/>
  <c r="P202" i="24" s="1"/>
  <c r="K200" i="24"/>
  <c r="J200" i="24"/>
  <c r="I200" i="24"/>
  <c r="H200" i="24"/>
  <c r="G153" i="24"/>
  <c r="T153" i="24"/>
  <c r="O153" i="24"/>
  <c r="N153" i="24"/>
  <c r="M153" i="24"/>
  <c r="L153" i="24"/>
  <c r="F154" i="24"/>
  <c r="K153" i="24"/>
  <c r="H153" i="24"/>
  <c r="J153" i="24"/>
  <c r="I153" i="24"/>
  <c r="AV200" i="24" l="1"/>
  <c r="U200" i="24"/>
  <c r="AU200" i="24"/>
  <c r="AS200" i="24"/>
  <c r="AP200" i="24"/>
  <c r="AL200" i="24"/>
  <c r="AK200" i="24"/>
  <c r="V200" i="24"/>
  <c r="AI200" i="24"/>
  <c r="AB200" i="24"/>
  <c r="AC200" i="24"/>
  <c r="AW224" i="24"/>
  <c r="AI177" i="24"/>
  <c r="AC177" i="24"/>
  <c r="AB177" i="24"/>
  <c r="V177" i="24"/>
  <c r="AV177" i="24"/>
  <c r="U177" i="24"/>
  <c r="AU177" i="24"/>
  <c r="AK177" i="24"/>
  <c r="AS177" i="24"/>
  <c r="AL177" i="24"/>
  <c r="AP177" i="24"/>
  <c r="AW82" i="24"/>
  <c r="AW42" i="24"/>
  <c r="AV153" i="24"/>
  <c r="U153" i="24"/>
  <c r="AU153" i="24"/>
  <c r="AS153" i="24"/>
  <c r="AP153" i="24"/>
  <c r="AL153" i="24"/>
  <c r="AK153" i="24"/>
  <c r="AI153" i="24"/>
  <c r="AB153" i="24"/>
  <c r="AC153" i="24"/>
  <c r="V153" i="24"/>
  <c r="AW250" i="24"/>
  <c r="AC130" i="24"/>
  <c r="AB130" i="24"/>
  <c r="V130" i="24"/>
  <c r="AV130" i="24"/>
  <c r="U130" i="24"/>
  <c r="AU130" i="24"/>
  <c r="AS130" i="24"/>
  <c r="AP130" i="24"/>
  <c r="AL130" i="24"/>
  <c r="AK130" i="24"/>
  <c r="AI130" i="24"/>
  <c r="V61" i="24"/>
  <c r="AV61" i="24"/>
  <c r="U61" i="24"/>
  <c r="AB61" i="24"/>
  <c r="AU61" i="24"/>
  <c r="AS61" i="24"/>
  <c r="AP61" i="24"/>
  <c r="AL61" i="24"/>
  <c r="AI61" i="24"/>
  <c r="AC61" i="24"/>
  <c r="AK61" i="24"/>
  <c r="AW24" i="24"/>
  <c r="AW106" i="24"/>
  <c r="AW25" i="24" l="1"/>
  <c r="AX24" i="24"/>
  <c r="AX25" i="24" s="1"/>
  <c r="AW251" i="24"/>
  <c r="AX250" i="24"/>
  <c r="AX251" i="24" s="1"/>
  <c r="BA250" i="24"/>
  <c r="BA251" i="24" s="1"/>
  <c r="AW153" i="24"/>
  <c r="AW43" i="24"/>
  <c r="AX42" i="24"/>
  <c r="AX43" i="24" s="1"/>
  <c r="AW177" i="24"/>
  <c r="AW225" i="24"/>
  <c r="AX224" i="24"/>
  <c r="AX225" i="24" s="1"/>
  <c r="AW200" i="24"/>
  <c r="AW83" i="24"/>
  <c r="AX82" i="24"/>
  <c r="AX83" i="24" s="1"/>
  <c r="BA82" i="24"/>
  <c r="BA83" i="24" s="1"/>
  <c r="AW130" i="24"/>
  <c r="AW107" i="24"/>
  <c r="AX106" i="24"/>
  <c r="AX107" i="24" s="1"/>
  <c r="AW61" i="24"/>
  <c r="AW201" i="24" l="1"/>
  <c r="AX200" i="24"/>
  <c r="AX201" i="24" s="1"/>
  <c r="BA42" i="24"/>
  <c r="BA43" i="24" s="1"/>
  <c r="AW62" i="24"/>
  <c r="AX61" i="24"/>
  <c r="AX62" i="24" s="1"/>
  <c r="BA224" i="24"/>
  <c r="BA225" i="24" s="1"/>
  <c r="BA24" i="24"/>
  <c r="AW154" i="24"/>
  <c r="AX153" i="24"/>
  <c r="AX154" i="24" s="1"/>
  <c r="BA153" i="24"/>
  <c r="BA154" i="24" s="1"/>
  <c r="AW131" i="24"/>
  <c r="BA130" i="24"/>
  <c r="BA131" i="24" s="1"/>
  <c r="AX130" i="24"/>
  <c r="AX131" i="24" s="1"/>
  <c r="BA106" i="24"/>
  <c r="AW178" i="24"/>
  <c r="AX177" i="24"/>
  <c r="AX178" i="24" s="1"/>
  <c r="BA61" i="24" l="1"/>
  <c r="BA62" i="24" s="1"/>
  <c r="BA25" i="24"/>
  <c r="C2" i="24"/>
  <c r="C3" i="24"/>
  <c r="BA107" i="24"/>
  <c r="BA177" i="24"/>
  <c r="BA178" i="24" s="1"/>
  <c r="BA200" i="24"/>
  <c r="BA201" i="24" l="1"/>
  <c r="C4" i="24"/>
  <c r="AJ9" i="23" l="1"/>
  <c r="AK9" i="23" s="1"/>
  <c r="AJ10" i="23"/>
  <c r="AJ11" i="23"/>
  <c r="AJ12" i="23"/>
  <c r="AJ13" i="23"/>
  <c r="AK13" i="23" s="1"/>
  <c r="C9" i="12" s="1"/>
  <c r="AJ14" i="23"/>
  <c r="AJ15" i="23"/>
  <c r="AK15" i="23" s="1"/>
  <c r="AJ16" i="23"/>
  <c r="AJ17" i="23"/>
  <c r="AK17" i="23" s="1"/>
  <c r="AJ18" i="23"/>
  <c r="AJ19" i="23"/>
  <c r="AK19" i="23" s="1"/>
  <c r="AJ20" i="23"/>
  <c r="AJ21" i="23"/>
  <c r="AK21" i="23" s="1"/>
  <c r="AJ22" i="23"/>
  <c r="AJ23" i="23"/>
  <c r="AK23" i="23" s="1"/>
  <c r="C14" i="12" s="1"/>
  <c r="AJ24" i="23"/>
  <c r="AJ25" i="23"/>
  <c r="AK25" i="23" s="1"/>
  <c r="C15" i="12" s="1"/>
  <c r="AJ26" i="23"/>
  <c r="AJ27" i="23"/>
  <c r="AK27" i="23" s="1"/>
  <c r="C16" i="12" s="1"/>
  <c r="AJ28" i="23"/>
  <c r="AJ29" i="23"/>
  <c r="AK29" i="23" s="1"/>
  <c r="AJ30" i="23"/>
  <c r="AJ31" i="23"/>
  <c r="AK31" i="23" s="1"/>
  <c r="C18" i="12" s="1"/>
  <c r="AJ32" i="23"/>
  <c r="AJ33" i="23"/>
  <c r="AK33" i="23" s="1"/>
  <c r="AJ34" i="23"/>
  <c r="AJ35" i="23"/>
  <c r="AK35" i="23" s="1"/>
  <c r="C20" i="12" s="1"/>
  <c r="AJ36" i="23"/>
  <c r="AJ37" i="23"/>
  <c r="AK37" i="23" s="1"/>
  <c r="AJ38" i="23"/>
  <c r="AJ39" i="23"/>
  <c r="AK39" i="23" s="1"/>
  <c r="AJ40" i="23"/>
  <c r="AJ41" i="23"/>
  <c r="AK41" i="23" s="1"/>
  <c r="AJ42" i="23"/>
  <c r="AJ43" i="23"/>
  <c r="AK43" i="23" s="1"/>
  <c r="AJ44" i="23"/>
  <c r="AJ45" i="23"/>
  <c r="AK45" i="23" s="1"/>
  <c r="AJ46" i="23"/>
  <c r="AJ47" i="23"/>
  <c r="AK47" i="23" s="1"/>
  <c r="C26" i="12" s="1"/>
  <c r="AJ48" i="23"/>
  <c r="AJ49" i="23"/>
  <c r="AK49" i="23" s="1"/>
  <c r="AJ50" i="23"/>
  <c r="AJ51" i="23"/>
  <c r="AK51" i="23" s="1"/>
  <c r="C28" i="12" s="1"/>
  <c r="AJ52" i="23"/>
  <c r="AJ53" i="23"/>
  <c r="AK53" i="23" s="1"/>
  <c r="AJ54" i="23"/>
  <c r="AJ55" i="23"/>
  <c r="AK55" i="23" s="1"/>
  <c r="AJ56" i="23"/>
  <c r="AJ57" i="23"/>
  <c r="AK57" i="23" s="1"/>
  <c r="AJ58" i="23"/>
  <c r="AJ59" i="23"/>
  <c r="AK59" i="23" s="1"/>
  <c r="AJ60" i="23"/>
  <c r="AJ61" i="23"/>
  <c r="AK61" i="23" s="1"/>
  <c r="C33" i="12" s="1"/>
  <c r="AJ62" i="23"/>
  <c r="AJ63" i="23"/>
  <c r="AK63" i="23" s="1"/>
  <c r="C34" i="12" s="1"/>
  <c r="AJ64" i="23"/>
  <c r="AJ65" i="23"/>
  <c r="AK65" i="23" s="1"/>
  <c r="AJ66" i="23"/>
  <c r="AJ67" i="23"/>
  <c r="AK67" i="23" s="1"/>
  <c r="AJ68" i="23"/>
  <c r="AJ69" i="23"/>
  <c r="AK69" i="23" s="1"/>
  <c r="C37" i="12" s="1"/>
  <c r="AJ70" i="23"/>
  <c r="AJ71" i="23"/>
  <c r="AK71" i="23" s="1"/>
  <c r="AJ72" i="23"/>
  <c r="AJ73" i="23"/>
  <c r="AK73" i="23" s="1"/>
  <c r="C39" i="12" s="1"/>
  <c r="AJ74" i="23"/>
  <c r="AJ75" i="23"/>
  <c r="AK75" i="23" s="1"/>
  <c r="C40" i="12" s="1"/>
  <c r="AJ76" i="23"/>
  <c r="AJ77" i="23"/>
  <c r="AK77" i="23" s="1"/>
  <c r="AJ78" i="23"/>
  <c r="AJ79" i="23"/>
  <c r="AK79" i="23" s="1"/>
  <c r="AJ80" i="23"/>
  <c r="AJ81" i="23"/>
  <c r="AK81" i="23" s="1"/>
  <c r="C43" i="12" s="1"/>
  <c r="AJ82" i="23"/>
  <c r="AJ83" i="23"/>
  <c r="AK83" i="23" s="1"/>
  <c r="C44" i="12" s="1"/>
  <c r="AJ84" i="23"/>
  <c r="AJ85" i="23"/>
  <c r="AK85" i="23" s="1"/>
  <c r="AJ86" i="23"/>
  <c r="AJ87" i="23"/>
  <c r="AK87" i="23" s="1"/>
  <c r="AJ88" i="23"/>
  <c r="AJ89" i="23"/>
  <c r="AK89" i="23" s="1"/>
  <c r="AJ90" i="23"/>
  <c r="AJ91" i="23"/>
  <c r="AK91" i="23" s="1"/>
  <c r="C48" i="12" s="1"/>
  <c r="AJ92" i="23"/>
  <c r="AJ93" i="23"/>
  <c r="AK93" i="23" s="1"/>
  <c r="C49" i="12" s="1"/>
  <c r="AJ94" i="23"/>
  <c r="AJ95" i="23"/>
  <c r="AK95" i="23" s="1"/>
  <c r="C50" i="12" s="1"/>
  <c r="AJ96" i="23"/>
  <c r="AJ97" i="23"/>
  <c r="AK97" i="23" s="1"/>
  <c r="AJ98" i="23"/>
  <c r="AJ99" i="23"/>
  <c r="AK99" i="23" s="1"/>
  <c r="C52" i="12" s="1"/>
  <c r="AJ100" i="23"/>
  <c r="AJ101" i="23"/>
  <c r="AK101" i="23" s="1"/>
  <c r="C53" i="12" s="1"/>
  <c r="AJ102" i="23"/>
  <c r="AJ103" i="23"/>
  <c r="AK103" i="23" s="1"/>
  <c r="AJ104" i="23"/>
  <c r="AJ105" i="23"/>
  <c r="AK105" i="23" s="1"/>
  <c r="C55" i="12" s="1"/>
  <c r="AJ106" i="23"/>
  <c r="AJ107" i="23"/>
  <c r="AK107" i="23" s="1"/>
  <c r="C56" i="12" s="1"/>
  <c r="AJ108" i="23"/>
  <c r="AJ109" i="23"/>
  <c r="AK109" i="23" s="1"/>
  <c r="C57" i="12" s="1"/>
  <c r="AJ110" i="23"/>
  <c r="AJ111" i="23"/>
  <c r="AK111" i="23" s="1"/>
  <c r="AJ112" i="23"/>
  <c r="AJ113" i="23"/>
  <c r="AK113" i="23" s="1"/>
  <c r="AJ114" i="23"/>
  <c r="AJ115" i="23"/>
  <c r="AK115" i="23" s="1"/>
  <c r="AJ116" i="23"/>
  <c r="AJ117" i="23"/>
  <c r="AK117" i="23" s="1"/>
  <c r="AJ118" i="23"/>
  <c r="AJ119" i="23"/>
  <c r="AK119" i="23" s="1"/>
  <c r="AJ120" i="23"/>
  <c r="AJ121" i="23"/>
  <c r="AJ122" i="23"/>
  <c r="AJ123" i="23"/>
  <c r="AK123" i="23" s="1"/>
  <c r="C64" i="12" s="1"/>
  <c r="AJ124" i="23"/>
  <c r="AJ125" i="23"/>
  <c r="AK125" i="23" s="1"/>
  <c r="C65" i="12" s="1"/>
  <c r="AJ126" i="23"/>
  <c r="AJ127" i="23"/>
  <c r="AK127" i="23" s="1"/>
  <c r="C66" i="12" s="1"/>
  <c r="AJ128" i="23"/>
  <c r="AJ129" i="23"/>
  <c r="AK129" i="23" s="1"/>
  <c r="C67" i="12" s="1"/>
  <c r="AJ130" i="23"/>
  <c r="AJ131" i="23"/>
  <c r="AK131" i="23" s="1"/>
  <c r="C68" i="12" s="1"/>
  <c r="AJ132" i="23"/>
  <c r="AJ133" i="23"/>
  <c r="AK133" i="23" s="1"/>
  <c r="AJ134" i="23"/>
  <c r="AJ135" i="23"/>
  <c r="AK135" i="23" s="1"/>
  <c r="C70" i="12" s="1"/>
  <c r="AJ136" i="23"/>
  <c r="AJ137" i="23"/>
  <c r="AK137" i="23" s="1"/>
  <c r="C71" i="12" s="1"/>
  <c r="AJ138" i="23"/>
  <c r="AJ139" i="23"/>
  <c r="AK139" i="23" s="1"/>
  <c r="C72" i="12" s="1"/>
  <c r="AJ140" i="23"/>
  <c r="AJ141" i="23"/>
  <c r="AK141" i="23" s="1"/>
  <c r="AJ142" i="23"/>
  <c r="AJ143" i="23"/>
  <c r="AK143" i="23" s="1"/>
  <c r="AJ144" i="23"/>
  <c r="AJ145" i="23"/>
  <c r="AK145" i="23" s="1"/>
  <c r="C75" i="12" s="1"/>
  <c r="AJ146" i="23"/>
  <c r="AJ147" i="23"/>
  <c r="AK147" i="23" s="1"/>
  <c r="AJ148" i="23"/>
  <c r="AJ149" i="23"/>
  <c r="AK149" i="23" s="1"/>
  <c r="AJ150" i="23"/>
  <c r="AJ151" i="23"/>
  <c r="AK151" i="23" s="1"/>
  <c r="C78" i="12" s="1"/>
  <c r="AJ152" i="23"/>
  <c r="AJ153" i="23"/>
  <c r="AK153" i="23" s="1"/>
  <c r="C79" i="12" s="1"/>
  <c r="AJ154" i="23"/>
  <c r="AJ155" i="23"/>
  <c r="AK155" i="23" s="1"/>
  <c r="C80" i="12" s="1"/>
  <c r="AJ156" i="23"/>
  <c r="AJ157" i="23"/>
  <c r="AK157" i="23" s="1"/>
  <c r="AJ158" i="23"/>
  <c r="AJ159" i="23"/>
  <c r="AK159" i="23" s="1"/>
  <c r="AJ160" i="23"/>
  <c r="AJ161" i="23"/>
  <c r="AK161" i="23" s="1"/>
  <c r="C83" i="12" s="1"/>
  <c r="AJ162" i="23"/>
  <c r="AJ163" i="23"/>
  <c r="AK163" i="23" s="1"/>
  <c r="C84" i="12" s="1"/>
  <c r="AJ164" i="23"/>
  <c r="AJ165" i="23"/>
  <c r="AK165" i="23" s="1"/>
  <c r="C85" i="12" s="1"/>
  <c r="AJ166" i="23"/>
  <c r="AJ167" i="23"/>
  <c r="AK167" i="23" s="1"/>
  <c r="C86" i="12" s="1"/>
  <c r="AJ168" i="23"/>
  <c r="AJ169" i="23"/>
  <c r="AK169" i="23" s="1"/>
  <c r="C87" i="12" s="1"/>
  <c r="AJ170" i="23"/>
  <c r="AJ171" i="23"/>
  <c r="AK171" i="23" s="1"/>
  <c r="C88" i="12" s="1"/>
  <c r="AJ172" i="23"/>
  <c r="AJ173" i="23"/>
  <c r="AK173" i="23" s="1"/>
  <c r="AJ174" i="23"/>
  <c r="AJ175" i="23"/>
  <c r="AK175" i="23" s="1"/>
  <c r="AJ176" i="23"/>
  <c r="AJ177" i="23"/>
  <c r="AK177" i="23" s="1"/>
  <c r="C91" i="12" s="1"/>
  <c r="AJ178" i="23"/>
  <c r="AJ179" i="23"/>
  <c r="AK179" i="23" s="1"/>
  <c r="C92" i="12" s="1"/>
  <c r="AJ180" i="23"/>
  <c r="AJ181" i="23"/>
  <c r="AK181" i="23" s="1"/>
  <c r="C93" i="12" s="1"/>
  <c r="AJ182" i="23"/>
  <c r="AJ183" i="23"/>
  <c r="AK183" i="23" s="1"/>
  <c r="C94" i="12" s="1"/>
  <c r="AJ184" i="23"/>
  <c r="AJ185" i="23"/>
  <c r="AK185" i="23" s="1"/>
  <c r="AJ186" i="23"/>
  <c r="AJ187" i="23"/>
  <c r="AK187" i="23" s="1"/>
  <c r="C96" i="12" s="1"/>
  <c r="AJ188" i="23"/>
  <c r="AJ189" i="23"/>
  <c r="AK189" i="23" s="1"/>
  <c r="C97" i="12" s="1"/>
  <c r="AJ190" i="23"/>
  <c r="AJ191" i="23"/>
  <c r="AK191" i="23" s="1"/>
  <c r="AJ192" i="23"/>
  <c r="AJ193" i="23"/>
  <c r="AK193" i="23" s="1"/>
  <c r="AJ194" i="23"/>
  <c r="AJ195" i="23"/>
  <c r="AK195" i="23" s="1"/>
  <c r="C100" i="12" s="1"/>
  <c r="AJ196" i="23"/>
  <c r="AJ197" i="23"/>
  <c r="AK197" i="23" s="1"/>
  <c r="AJ198" i="23"/>
  <c r="AJ199" i="23"/>
  <c r="AK199" i="23" s="1"/>
  <c r="C102" i="12" s="1"/>
  <c r="AJ200" i="23"/>
  <c r="AJ201" i="23"/>
  <c r="AK201" i="23" s="1"/>
  <c r="C103" i="12" s="1"/>
  <c r="AJ202" i="23"/>
  <c r="AJ203" i="23"/>
  <c r="AK203" i="23" s="1"/>
  <c r="AJ204" i="23"/>
  <c r="AJ205" i="23"/>
  <c r="AK205" i="23" s="1"/>
  <c r="C105" i="12" s="1"/>
  <c r="AJ206" i="23"/>
  <c r="AJ207" i="23"/>
  <c r="AK207" i="23" s="1"/>
  <c r="AJ208" i="23"/>
  <c r="AJ209" i="23"/>
  <c r="AK209" i="23" s="1"/>
  <c r="AJ210" i="23"/>
  <c r="AJ211" i="23"/>
  <c r="AK211" i="23" s="1"/>
  <c r="C108" i="12" s="1"/>
  <c r="AJ212" i="23"/>
  <c r="AJ213" i="23"/>
  <c r="AK213" i="23" s="1"/>
  <c r="C109" i="12" s="1"/>
  <c r="AJ214" i="23"/>
  <c r="AJ215" i="23"/>
  <c r="AK215" i="23" s="1"/>
  <c r="C110" i="12" s="1"/>
  <c r="AJ216" i="23"/>
  <c r="AJ217" i="23"/>
  <c r="AK217" i="23" s="1"/>
  <c r="C111" i="12" s="1"/>
  <c r="AJ218" i="23"/>
  <c r="AJ219" i="23"/>
  <c r="AK219" i="23" s="1"/>
  <c r="AJ220" i="23"/>
  <c r="AJ221" i="23"/>
  <c r="AK221" i="23" s="1"/>
  <c r="C113" i="12" s="1"/>
  <c r="AJ222" i="23"/>
  <c r="AJ223" i="23"/>
  <c r="AK223" i="23" s="1"/>
  <c r="AJ224" i="23"/>
  <c r="AJ225" i="23"/>
  <c r="AK225" i="23" s="1"/>
  <c r="C115" i="12" s="1"/>
  <c r="AJ226" i="23"/>
  <c r="AJ227" i="23"/>
  <c r="AK227" i="23" s="1"/>
  <c r="C116" i="12" s="1"/>
  <c r="AJ228" i="23"/>
  <c r="AJ229" i="23"/>
  <c r="AK229" i="23" s="1"/>
  <c r="C117" i="12" s="1"/>
  <c r="AJ230" i="23"/>
  <c r="AJ231" i="23"/>
  <c r="AK231" i="23" s="1"/>
  <c r="C118" i="12" s="1"/>
  <c r="AJ232" i="23"/>
  <c r="AJ233" i="23"/>
  <c r="AK233" i="23" s="1"/>
  <c r="AJ234" i="23"/>
  <c r="AJ7" i="23"/>
  <c r="AK7" i="23" s="1"/>
  <c r="C6" i="12" s="1"/>
  <c r="AJ8" i="23"/>
  <c r="AJ6" i="23"/>
  <c r="B7" i="23"/>
  <c r="B9" i="23"/>
  <c r="B13" i="23"/>
  <c r="B15" i="23"/>
  <c r="B17" i="23"/>
  <c r="B19" i="23"/>
  <c r="B21" i="23"/>
  <c r="B23" i="23"/>
  <c r="B25" i="23"/>
  <c r="B27" i="23"/>
  <c r="B29" i="23"/>
  <c r="B31" i="23"/>
  <c r="B33" i="23"/>
  <c r="B35" i="23"/>
  <c r="B37" i="23"/>
  <c r="B39" i="23"/>
  <c r="B41" i="23"/>
  <c r="B43" i="23"/>
  <c r="B45" i="23"/>
  <c r="B47" i="23"/>
  <c r="B49" i="23"/>
  <c r="B51" i="23"/>
  <c r="B53" i="23"/>
  <c r="B55" i="23"/>
  <c r="B57" i="23"/>
  <c r="B59" i="23"/>
  <c r="B61" i="23"/>
  <c r="B63" i="23"/>
  <c r="B65" i="23"/>
  <c r="B67" i="23"/>
  <c r="B69" i="23"/>
  <c r="B71" i="23"/>
  <c r="B73" i="23"/>
  <c r="B75" i="23"/>
  <c r="B77" i="23"/>
  <c r="B79" i="23"/>
  <c r="B81" i="23"/>
  <c r="B83" i="23"/>
  <c r="B85" i="23"/>
  <c r="B87" i="23"/>
  <c r="B89" i="23"/>
  <c r="B91" i="23"/>
  <c r="B93" i="23"/>
  <c r="B95" i="23"/>
  <c r="B97" i="23"/>
  <c r="B99" i="23"/>
  <c r="B101" i="23"/>
  <c r="B103" i="23"/>
  <c r="B105" i="23"/>
  <c r="B107" i="23"/>
  <c r="B109" i="23"/>
  <c r="B111" i="23"/>
  <c r="B113" i="23"/>
  <c r="B115" i="23"/>
  <c r="B117" i="23"/>
  <c r="B119" i="23"/>
  <c r="B123" i="23"/>
  <c r="B125" i="23"/>
  <c r="B127" i="23"/>
  <c r="B129" i="23"/>
  <c r="B131" i="23"/>
  <c r="B133" i="23"/>
  <c r="B135" i="23"/>
  <c r="B137" i="23"/>
  <c r="B139" i="23"/>
  <c r="B141" i="23"/>
  <c r="B143" i="23"/>
  <c r="B145" i="23"/>
  <c r="B147" i="23"/>
  <c r="B149" i="23"/>
  <c r="B151" i="23"/>
  <c r="B153" i="23"/>
  <c r="B155" i="23"/>
  <c r="B157" i="23"/>
  <c r="B159" i="23"/>
  <c r="B161" i="23"/>
  <c r="B163" i="23"/>
  <c r="B165" i="23"/>
  <c r="B167" i="23"/>
  <c r="B169" i="23"/>
  <c r="B171" i="23"/>
  <c r="B173" i="23"/>
  <c r="B175" i="23"/>
  <c r="B177" i="23"/>
  <c r="B179" i="23"/>
  <c r="B181" i="23"/>
  <c r="B183" i="23"/>
  <c r="B185" i="23"/>
  <c r="B187" i="23"/>
  <c r="B189" i="23"/>
  <c r="B191" i="23"/>
  <c r="B193" i="23"/>
  <c r="B195" i="23"/>
  <c r="B197" i="23"/>
  <c r="B199" i="23"/>
  <c r="B201" i="23"/>
  <c r="B203" i="23"/>
  <c r="B205" i="23"/>
  <c r="B207" i="23"/>
  <c r="B209" i="23"/>
  <c r="B211" i="23"/>
  <c r="B213" i="23"/>
  <c r="B215" i="23"/>
  <c r="B217" i="23"/>
  <c r="B219" i="23"/>
  <c r="B221" i="23"/>
  <c r="B223" i="23"/>
  <c r="B225" i="23"/>
  <c r="B227" i="23"/>
  <c r="B229" i="23"/>
  <c r="B231" i="23"/>
  <c r="B233" i="23"/>
  <c r="AJ5" i="23"/>
  <c r="B5" i="23"/>
  <c r="S2" i="1"/>
  <c r="U69" i="1"/>
  <c r="U74" i="1"/>
  <c r="U76" i="1"/>
  <c r="S9" i="1"/>
  <c r="S11" i="1"/>
  <c r="S12" i="1"/>
  <c r="U12" i="1" s="1"/>
  <c r="B11" i="23" s="1"/>
  <c r="S13" i="1"/>
  <c r="S14" i="1"/>
  <c r="S15" i="1"/>
  <c r="S16" i="1"/>
  <c r="S17" i="1"/>
  <c r="S18" i="1"/>
  <c r="U18" i="1" s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U32" i="1" s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U45" i="1" s="1"/>
  <c r="S46" i="1"/>
  <c r="S47" i="1"/>
  <c r="S48" i="1"/>
  <c r="S49" i="1"/>
  <c r="S50" i="1"/>
  <c r="S51" i="1"/>
  <c r="S52" i="1"/>
  <c r="S53" i="1"/>
  <c r="S54" i="1"/>
  <c r="S55" i="1"/>
  <c r="S56" i="1"/>
  <c r="U56" i="1" s="1"/>
  <c r="S57" i="1"/>
  <c r="S58" i="1"/>
  <c r="S59" i="1"/>
  <c r="S60" i="1"/>
  <c r="U60" i="1" s="1"/>
  <c r="S61" i="1"/>
  <c r="S62" i="1"/>
  <c r="S63" i="1"/>
  <c r="S64" i="1"/>
  <c r="S65" i="1"/>
  <c r="S66" i="1"/>
  <c r="S67" i="1"/>
  <c r="S68" i="1"/>
  <c r="S69" i="1"/>
  <c r="S70" i="1"/>
  <c r="S71" i="1"/>
  <c r="U71" i="1" s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U84" i="1" s="1"/>
  <c r="S85" i="1"/>
  <c r="S86" i="1"/>
  <c r="S87" i="1"/>
  <c r="U87" i="1" s="1"/>
  <c r="S88" i="1"/>
  <c r="S89" i="1"/>
  <c r="S90" i="1"/>
  <c r="S91" i="1"/>
  <c r="S92" i="1"/>
  <c r="S93" i="1"/>
  <c r="S94" i="1"/>
  <c r="S95" i="1"/>
  <c r="U95" i="1" s="1"/>
  <c r="S96" i="1"/>
  <c r="S97" i="1"/>
  <c r="S98" i="1"/>
  <c r="S99" i="1"/>
  <c r="S100" i="1"/>
  <c r="S101" i="1"/>
  <c r="S102" i="1"/>
  <c r="S103" i="1"/>
  <c r="S104" i="1"/>
  <c r="S105" i="1"/>
  <c r="S106" i="1"/>
  <c r="U106" i="1" s="1"/>
  <c r="S107" i="1"/>
  <c r="S108" i="1"/>
  <c r="S109" i="1"/>
  <c r="S110" i="1"/>
  <c r="S111" i="1"/>
  <c r="S112" i="1"/>
  <c r="U112" i="1" s="1"/>
  <c r="S113" i="1"/>
  <c r="S114" i="1"/>
  <c r="S115" i="1"/>
  <c r="S116" i="1"/>
  <c r="U116" i="1" s="1"/>
  <c r="S117" i="1"/>
  <c r="S118" i="1"/>
  <c r="S119" i="1"/>
  <c r="S120" i="1"/>
  <c r="U120" i="1" s="1"/>
  <c r="S121" i="1"/>
  <c r="S122" i="1"/>
  <c r="S123" i="1"/>
  <c r="S10" i="1"/>
  <c r="U10" i="1" s="1"/>
  <c r="T80" i="1"/>
  <c r="T81" i="1"/>
  <c r="AJ2" i="23" l="1"/>
  <c r="C3" i="12" s="1"/>
  <c r="AK11" i="23"/>
  <c r="C8" i="12" s="1"/>
  <c r="U67" i="1"/>
  <c r="B121" i="23" s="1"/>
  <c r="AK121" i="23" s="1"/>
  <c r="C63" i="12" s="1"/>
  <c r="B3" i="12"/>
  <c r="AK5" i="23"/>
  <c r="C5" i="12" s="1"/>
  <c r="T2" i="1"/>
  <c r="D3" i="12" l="1"/>
  <c r="C123" i="12"/>
  <c r="H10" i="1"/>
  <c r="J10" i="1" s="1"/>
  <c r="H11" i="1"/>
  <c r="J11" i="1" s="1"/>
  <c r="K11" i="1" s="1"/>
  <c r="U11" i="1" s="1"/>
  <c r="H12" i="1"/>
  <c r="J12" i="1" s="1"/>
  <c r="H13" i="1"/>
  <c r="J13" i="1" s="1"/>
  <c r="H14" i="1"/>
  <c r="H15" i="1"/>
  <c r="J15" i="1" s="1"/>
  <c r="K15" i="1" s="1"/>
  <c r="U15" i="1" s="1"/>
  <c r="H16" i="1"/>
  <c r="H17" i="1"/>
  <c r="H18" i="1"/>
  <c r="J18" i="1" s="1"/>
  <c r="K18" i="1" s="1"/>
  <c r="T18" i="1" s="1"/>
  <c r="H19" i="1"/>
  <c r="J19" i="1" s="1"/>
  <c r="K19" i="1" s="1"/>
  <c r="U19" i="1" s="1"/>
  <c r="H20" i="1"/>
  <c r="H21" i="1"/>
  <c r="H22" i="1"/>
  <c r="H23" i="1"/>
  <c r="J23" i="1" s="1"/>
  <c r="K23" i="1" s="1"/>
  <c r="U23" i="1" s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J38" i="1" s="1"/>
  <c r="H39" i="1"/>
  <c r="H40" i="1"/>
  <c r="H41" i="1"/>
  <c r="H42" i="1"/>
  <c r="H43" i="1"/>
  <c r="J43" i="1" s="1"/>
  <c r="K43" i="1" s="1"/>
  <c r="U43" i="1" s="1"/>
  <c r="H44" i="1"/>
  <c r="H45" i="1"/>
  <c r="H46" i="1"/>
  <c r="H47" i="1"/>
  <c r="J47" i="1" s="1"/>
  <c r="K47" i="1" s="1"/>
  <c r="U47" i="1" s="1"/>
  <c r="H48" i="1"/>
  <c r="H49" i="1"/>
  <c r="H50" i="1"/>
  <c r="H51" i="1"/>
  <c r="H52" i="1"/>
  <c r="H53" i="1"/>
  <c r="H54" i="1"/>
  <c r="H55" i="1"/>
  <c r="J55" i="1" s="1"/>
  <c r="H56" i="1"/>
  <c r="H57" i="1"/>
  <c r="H58" i="1"/>
  <c r="H59" i="1"/>
  <c r="H60" i="1"/>
  <c r="H61" i="1"/>
  <c r="H62" i="1"/>
  <c r="H63" i="1"/>
  <c r="J63" i="1" s="1"/>
  <c r="K63" i="1" s="1"/>
  <c r="U63" i="1" s="1"/>
  <c r="H64" i="1"/>
  <c r="H65" i="1"/>
  <c r="H66" i="1"/>
  <c r="H67" i="1"/>
  <c r="J67" i="1" s="1"/>
  <c r="K67" i="1" s="1"/>
  <c r="T67" i="1" s="1"/>
  <c r="H68" i="1"/>
  <c r="H69" i="1"/>
  <c r="J69" i="1" s="1"/>
  <c r="H70" i="1"/>
  <c r="H71" i="1"/>
  <c r="J71" i="1" s="1"/>
  <c r="H72" i="1"/>
  <c r="H73" i="1"/>
  <c r="H74" i="1"/>
  <c r="J74" i="1" s="1"/>
  <c r="H75" i="1"/>
  <c r="H76" i="1"/>
  <c r="J76" i="1" s="1"/>
  <c r="H77" i="1"/>
  <c r="H78" i="1"/>
  <c r="H79" i="1"/>
  <c r="H80" i="1"/>
  <c r="H81" i="1"/>
  <c r="H82" i="1"/>
  <c r="J82" i="1" s="1"/>
  <c r="H83" i="1"/>
  <c r="H84" i="1"/>
  <c r="J84" i="1" s="1"/>
  <c r="K84" i="1" s="1"/>
  <c r="T84" i="1" s="1"/>
  <c r="H85" i="1"/>
  <c r="H86" i="1"/>
  <c r="H87" i="1"/>
  <c r="J87" i="1" s="1"/>
  <c r="H88" i="1"/>
  <c r="J88" i="1" s="1"/>
  <c r="K88" i="1" s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J106" i="1" s="1"/>
  <c r="H107" i="1"/>
  <c r="H108" i="1"/>
  <c r="H109" i="1"/>
  <c r="H110" i="1"/>
  <c r="H111" i="1"/>
  <c r="H112" i="1"/>
  <c r="J112" i="1" s="1"/>
  <c r="K112" i="1" s="1"/>
  <c r="T112" i="1" s="1"/>
  <c r="H113" i="1"/>
  <c r="H114" i="1"/>
  <c r="H115" i="1"/>
  <c r="H116" i="1"/>
  <c r="J116" i="1" s="1"/>
  <c r="K116" i="1" s="1"/>
  <c r="T116" i="1" s="1"/>
  <c r="H117" i="1"/>
  <c r="H118" i="1"/>
  <c r="H119" i="1"/>
  <c r="H120" i="1"/>
  <c r="H121" i="1"/>
  <c r="H122" i="1"/>
  <c r="H123" i="1"/>
  <c r="H9" i="1"/>
  <c r="K10" i="1"/>
  <c r="T10" i="1" s="1"/>
  <c r="K38" i="1"/>
  <c r="K55" i="1"/>
  <c r="U55" i="1" s="1"/>
  <c r="K82" i="1"/>
  <c r="K87" i="1"/>
  <c r="T87" i="1" s="1"/>
  <c r="K106" i="1"/>
  <c r="T106" i="1" s="1"/>
  <c r="K71" i="1"/>
  <c r="T71" i="1" s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T11" i="1"/>
  <c r="T13" i="1"/>
  <c r="T14" i="1"/>
  <c r="T15" i="1"/>
  <c r="T16" i="1"/>
  <c r="T17" i="1"/>
  <c r="T19" i="1"/>
  <c r="T20" i="1"/>
  <c r="T21" i="1"/>
  <c r="T22" i="1"/>
  <c r="T23" i="1"/>
  <c r="T24" i="1"/>
  <c r="T26" i="1"/>
  <c r="T27" i="1"/>
  <c r="T28" i="1"/>
  <c r="T29" i="1"/>
  <c r="T30" i="1"/>
  <c r="T31" i="1"/>
  <c r="T33" i="1"/>
  <c r="T34" i="1"/>
  <c r="T35" i="1"/>
  <c r="T36" i="1"/>
  <c r="T37" i="1"/>
  <c r="T39" i="1"/>
  <c r="T40" i="1"/>
  <c r="T41" i="1"/>
  <c r="T42" i="1"/>
  <c r="T43" i="1"/>
  <c r="T44" i="1"/>
  <c r="T46" i="1"/>
  <c r="T47" i="1"/>
  <c r="T48" i="1"/>
  <c r="T49" i="1"/>
  <c r="T50" i="1"/>
  <c r="T51" i="1"/>
  <c r="T52" i="1"/>
  <c r="T53" i="1"/>
  <c r="T54" i="1"/>
  <c r="T55" i="1"/>
  <c r="T57" i="1"/>
  <c r="T58" i="1"/>
  <c r="T59" i="1"/>
  <c r="T61" i="1"/>
  <c r="T62" i="1"/>
  <c r="T63" i="1"/>
  <c r="T64" i="1"/>
  <c r="T65" i="1"/>
  <c r="T66" i="1"/>
  <c r="T68" i="1"/>
  <c r="T69" i="1"/>
  <c r="T70" i="1"/>
  <c r="T72" i="1"/>
  <c r="T73" i="1"/>
  <c r="T74" i="1"/>
  <c r="T75" i="1"/>
  <c r="T76" i="1"/>
  <c r="T77" i="1"/>
  <c r="T78" i="1"/>
  <c r="T79" i="1"/>
  <c r="T83" i="1"/>
  <c r="T85" i="1"/>
  <c r="T86" i="1"/>
  <c r="T89" i="1"/>
  <c r="T90" i="1"/>
  <c r="T91" i="1"/>
  <c r="T92" i="1"/>
  <c r="T93" i="1"/>
  <c r="T94" i="1"/>
  <c r="T96" i="1"/>
  <c r="T97" i="1"/>
  <c r="T98" i="1"/>
  <c r="T99" i="1"/>
  <c r="T100" i="1"/>
  <c r="T101" i="1"/>
  <c r="T102" i="1"/>
  <c r="T103" i="1"/>
  <c r="T104" i="1"/>
  <c r="T105" i="1"/>
  <c r="T107" i="1"/>
  <c r="T108" i="1"/>
  <c r="T109" i="1"/>
  <c r="T110" i="1"/>
  <c r="T111" i="1"/>
  <c r="T113" i="1"/>
  <c r="T114" i="1"/>
  <c r="T115" i="1"/>
  <c r="T117" i="1"/>
  <c r="T118" i="1"/>
  <c r="T119" i="1"/>
  <c r="T121" i="1"/>
  <c r="T122" i="1"/>
  <c r="T123" i="1"/>
  <c r="L26" i="1"/>
  <c r="O10" i="1"/>
  <c r="O9" i="1"/>
  <c r="J100" i="1" l="1"/>
  <c r="K100" i="1" s="1"/>
  <c r="U100" i="1" s="1"/>
  <c r="J92" i="1"/>
  <c r="K92" i="1" s="1"/>
  <c r="U92" i="1" s="1"/>
  <c r="J64" i="1"/>
  <c r="K64" i="1" s="1"/>
  <c r="U64" i="1" s="1"/>
  <c r="J52" i="1"/>
  <c r="K52" i="1" s="1"/>
  <c r="U52" i="1" s="1"/>
  <c r="J44" i="1"/>
  <c r="K44" i="1" s="1"/>
  <c r="U44" i="1" s="1"/>
  <c r="J36" i="1"/>
  <c r="K36" i="1" s="1"/>
  <c r="U36" i="1" s="1"/>
  <c r="J123" i="1"/>
  <c r="K123" i="1" s="1"/>
  <c r="U123" i="1" s="1"/>
  <c r="J111" i="1"/>
  <c r="K111" i="1" s="1"/>
  <c r="U111" i="1" s="1"/>
  <c r="J103" i="1"/>
  <c r="K103" i="1" s="1"/>
  <c r="U103" i="1" s="1"/>
  <c r="J95" i="1"/>
  <c r="K95" i="1" s="1"/>
  <c r="T95" i="1" s="1"/>
  <c r="J79" i="1"/>
  <c r="K79" i="1" s="1"/>
  <c r="U79" i="1" s="1"/>
  <c r="J59" i="1"/>
  <c r="K59" i="1" s="1"/>
  <c r="U59" i="1" s="1"/>
  <c r="J39" i="1"/>
  <c r="K39" i="1" s="1"/>
  <c r="U39" i="1" s="1"/>
  <c r="J122" i="1"/>
  <c r="K122" i="1" s="1"/>
  <c r="U122" i="1" s="1"/>
  <c r="J118" i="1"/>
  <c r="K118" i="1" s="1"/>
  <c r="U118" i="1" s="1"/>
  <c r="J114" i="1"/>
  <c r="K114" i="1" s="1"/>
  <c r="U114" i="1" s="1"/>
  <c r="J110" i="1"/>
  <c r="K110" i="1" s="1"/>
  <c r="U110" i="1" s="1"/>
  <c r="J102" i="1"/>
  <c r="K102" i="1" s="1"/>
  <c r="U102" i="1" s="1"/>
  <c r="J98" i="1"/>
  <c r="K98" i="1" s="1"/>
  <c r="U98" i="1" s="1"/>
  <c r="J94" i="1"/>
  <c r="K94" i="1" s="1"/>
  <c r="U94" i="1" s="1"/>
  <c r="J90" i="1"/>
  <c r="K90" i="1" s="1"/>
  <c r="U90" i="1" s="1"/>
  <c r="J86" i="1"/>
  <c r="K86" i="1" s="1"/>
  <c r="U86" i="1" s="1"/>
  <c r="J78" i="1"/>
  <c r="K78" i="1" s="1"/>
  <c r="U78" i="1" s="1"/>
  <c r="J70" i="1"/>
  <c r="K70" i="1" s="1"/>
  <c r="U70" i="1" s="1"/>
  <c r="J66" i="1"/>
  <c r="K66" i="1" s="1"/>
  <c r="U66" i="1" s="1"/>
  <c r="J62" i="1"/>
  <c r="K62" i="1" s="1"/>
  <c r="U62" i="1" s="1"/>
  <c r="J58" i="1"/>
  <c r="K58" i="1" s="1"/>
  <c r="U58" i="1" s="1"/>
  <c r="J54" i="1"/>
  <c r="K54" i="1" s="1"/>
  <c r="U54" i="1" s="1"/>
  <c r="J50" i="1"/>
  <c r="K50" i="1" s="1"/>
  <c r="U50" i="1" s="1"/>
  <c r="J46" i="1"/>
  <c r="K46" i="1" s="1"/>
  <c r="U46" i="1" s="1"/>
  <c r="J42" i="1"/>
  <c r="K42" i="1" s="1"/>
  <c r="U42" i="1" s="1"/>
  <c r="J34" i="1"/>
  <c r="K34" i="1" s="1"/>
  <c r="U34" i="1" s="1"/>
  <c r="J30" i="1"/>
  <c r="K30" i="1" s="1"/>
  <c r="U30" i="1" s="1"/>
  <c r="J26" i="1"/>
  <c r="K26" i="1" s="1"/>
  <c r="U26" i="1" s="1"/>
  <c r="J22" i="1"/>
  <c r="K22" i="1" s="1"/>
  <c r="U22" i="1" s="1"/>
  <c r="J14" i="1"/>
  <c r="K14" i="1" s="1"/>
  <c r="U14" i="1" s="1"/>
  <c r="J120" i="1"/>
  <c r="K120" i="1" s="1"/>
  <c r="T120" i="1" s="1"/>
  <c r="J108" i="1"/>
  <c r="K108" i="1" s="1"/>
  <c r="U108" i="1" s="1"/>
  <c r="J104" i="1"/>
  <c r="K104" i="1" s="1"/>
  <c r="U104" i="1" s="1"/>
  <c r="J96" i="1"/>
  <c r="K96" i="1" s="1"/>
  <c r="U96" i="1" s="1"/>
  <c r="J80" i="1"/>
  <c r="K80" i="1" s="1"/>
  <c r="U80" i="1" s="1"/>
  <c r="J72" i="1"/>
  <c r="K72" i="1" s="1"/>
  <c r="U72" i="1" s="1"/>
  <c r="J68" i="1"/>
  <c r="K68" i="1" s="1"/>
  <c r="U68" i="1" s="1"/>
  <c r="J60" i="1"/>
  <c r="K60" i="1" s="1"/>
  <c r="T60" i="1" s="1"/>
  <c r="J56" i="1"/>
  <c r="K56" i="1" s="1"/>
  <c r="T56" i="1" s="1"/>
  <c r="J48" i="1"/>
  <c r="K48" i="1" s="1"/>
  <c r="U48" i="1" s="1"/>
  <c r="J40" i="1"/>
  <c r="K40" i="1" s="1"/>
  <c r="U40" i="1" s="1"/>
  <c r="J32" i="1"/>
  <c r="K32" i="1" s="1"/>
  <c r="T32" i="1" s="1"/>
  <c r="J28" i="1"/>
  <c r="K28" i="1" s="1"/>
  <c r="U28" i="1" s="1"/>
  <c r="J24" i="1"/>
  <c r="K24" i="1" s="1"/>
  <c r="U24" i="1" s="1"/>
  <c r="J20" i="1"/>
  <c r="K20" i="1" s="1"/>
  <c r="U20" i="1" s="1"/>
  <c r="J16" i="1"/>
  <c r="K16" i="1" s="1"/>
  <c r="U16" i="1" s="1"/>
  <c r="J119" i="1"/>
  <c r="K119" i="1" s="1"/>
  <c r="U119" i="1" s="1"/>
  <c r="J115" i="1"/>
  <c r="K115" i="1" s="1"/>
  <c r="U115" i="1" s="1"/>
  <c r="J107" i="1"/>
  <c r="K107" i="1" s="1"/>
  <c r="U107" i="1" s="1"/>
  <c r="J99" i="1"/>
  <c r="K99" i="1" s="1"/>
  <c r="U99" i="1" s="1"/>
  <c r="J91" i="1"/>
  <c r="K91" i="1" s="1"/>
  <c r="U91" i="1" s="1"/>
  <c r="J83" i="1"/>
  <c r="K83" i="1" s="1"/>
  <c r="U83" i="1" s="1"/>
  <c r="J75" i="1"/>
  <c r="K75" i="1" s="1"/>
  <c r="U75" i="1" s="1"/>
  <c r="J51" i="1"/>
  <c r="K51" i="1" s="1"/>
  <c r="U51" i="1" s="1"/>
  <c r="J35" i="1"/>
  <c r="K35" i="1" s="1"/>
  <c r="U35" i="1" s="1"/>
  <c r="J31" i="1"/>
  <c r="K31" i="1" s="1"/>
  <c r="U31" i="1" s="1"/>
  <c r="J27" i="1"/>
  <c r="K27" i="1" s="1"/>
  <c r="U27" i="1" s="1"/>
  <c r="J121" i="1"/>
  <c r="K121" i="1" s="1"/>
  <c r="U121" i="1" s="1"/>
  <c r="J117" i="1"/>
  <c r="K117" i="1" s="1"/>
  <c r="U117" i="1" s="1"/>
  <c r="J113" i="1"/>
  <c r="K113" i="1" s="1"/>
  <c r="U113" i="1" s="1"/>
  <c r="J109" i="1"/>
  <c r="K109" i="1" s="1"/>
  <c r="U109" i="1" s="1"/>
  <c r="J105" i="1"/>
  <c r="K105" i="1" s="1"/>
  <c r="U105" i="1" s="1"/>
  <c r="J101" i="1"/>
  <c r="K101" i="1" s="1"/>
  <c r="U101" i="1" s="1"/>
  <c r="J97" i="1"/>
  <c r="K97" i="1" s="1"/>
  <c r="U97" i="1" s="1"/>
  <c r="J93" i="1"/>
  <c r="K93" i="1" s="1"/>
  <c r="U93" i="1" s="1"/>
  <c r="J89" i="1"/>
  <c r="K89" i="1" s="1"/>
  <c r="U89" i="1" s="1"/>
  <c r="J85" i="1"/>
  <c r="K85" i="1" s="1"/>
  <c r="U85" i="1" s="1"/>
  <c r="J81" i="1"/>
  <c r="K81" i="1" s="1"/>
  <c r="U81" i="1" s="1"/>
  <c r="J77" i="1"/>
  <c r="K77" i="1" s="1"/>
  <c r="U77" i="1" s="1"/>
  <c r="J73" i="1"/>
  <c r="K73" i="1" s="1"/>
  <c r="U73" i="1" s="1"/>
  <c r="J65" i="1"/>
  <c r="K65" i="1" s="1"/>
  <c r="U65" i="1" s="1"/>
  <c r="J61" i="1"/>
  <c r="K61" i="1" s="1"/>
  <c r="U61" i="1" s="1"/>
  <c r="J57" i="1"/>
  <c r="K57" i="1" s="1"/>
  <c r="U57" i="1" s="1"/>
  <c r="J53" i="1"/>
  <c r="K53" i="1" s="1"/>
  <c r="U53" i="1" s="1"/>
  <c r="J49" i="1"/>
  <c r="K49" i="1" s="1"/>
  <c r="U49" i="1" s="1"/>
  <c r="J45" i="1"/>
  <c r="K45" i="1" s="1"/>
  <c r="T45" i="1" s="1"/>
  <c r="J41" i="1"/>
  <c r="K41" i="1" s="1"/>
  <c r="U41" i="1" s="1"/>
  <c r="J37" i="1"/>
  <c r="K37" i="1" s="1"/>
  <c r="U37" i="1" s="1"/>
  <c r="J33" i="1"/>
  <c r="K33" i="1" s="1"/>
  <c r="U33" i="1" s="1"/>
  <c r="J29" i="1"/>
  <c r="K29" i="1" s="1"/>
  <c r="U29" i="1" s="1"/>
  <c r="J25" i="1"/>
  <c r="K25" i="1" s="1"/>
  <c r="U25" i="1" s="1"/>
  <c r="J21" i="1"/>
  <c r="K21" i="1" s="1"/>
  <c r="U21" i="1" s="1"/>
  <c r="J17" i="1"/>
  <c r="K17" i="1" s="1"/>
  <c r="U17" i="1" s="1"/>
  <c r="T88" i="1"/>
  <c r="U88" i="1"/>
  <c r="T82" i="1"/>
  <c r="U82" i="1"/>
  <c r="T38" i="1"/>
  <c r="U38" i="1"/>
  <c r="T25" i="1"/>
  <c r="J9" i="1"/>
  <c r="K9" i="1" s="1"/>
  <c r="U9" i="1" s="1"/>
  <c r="K12" i="1"/>
  <c r="T12" i="1" s="1"/>
  <c r="K13" i="1"/>
  <c r="U13" i="1" s="1"/>
  <c r="U2" i="1" l="1"/>
  <c r="T9" i="1"/>
  <c r="K123" i="3" l="1"/>
  <c r="J123" i="3"/>
  <c r="I123" i="3"/>
  <c r="H123" i="3"/>
  <c r="K122" i="3"/>
  <c r="J122" i="3"/>
  <c r="I122" i="3"/>
  <c r="H122" i="3"/>
  <c r="K121" i="3"/>
  <c r="J121" i="3"/>
  <c r="I121" i="3"/>
  <c r="H121" i="3"/>
  <c r="K120" i="3"/>
  <c r="J120" i="3"/>
  <c r="I120" i="3"/>
  <c r="H120" i="3"/>
  <c r="K119" i="3"/>
  <c r="J119" i="3"/>
  <c r="I119" i="3"/>
  <c r="H119" i="3"/>
  <c r="K118" i="3"/>
  <c r="J118" i="3"/>
  <c r="I118" i="3"/>
  <c r="H118" i="3"/>
  <c r="K117" i="3"/>
  <c r="J117" i="3"/>
  <c r="I117" i="3"/>
  <c r="H117" i="3"/>
  <c r="K116" i="3"/>
  <c r="J116" i="3"/>
  <c r="I116" i="3"/>
  <c r="H116" i="3"/>
  <c r="K115" i="3"/>
  <c r="J115" i="3"/>
  <c r="I115" i="3"/>
  <c r="H115" i="3"/>
  <c r="K114" i="3"/>
  <c r="J114" i="3"/>
  <c r="I114" i="3"/>
  <c r="H114" i="3"/>
  <c r="K113" i="3"/>
  <c r="J113" i="3"/>
  <c r="I113" i="3"/>
  <c r="H113" i="3"/>
  <c r="K112" i="3"/>
  <c r="J112" i="3"/>
  <c r="I112" i="3"/>
  <c r="H112" i="3"/>
  <c r="K111" i="3"/>
  <c r="J111" i="3"/>
  <c r="I111" i="3"/>
  <c r="H111" i="3"/>
  <c r="K110" i="3"/>
  <c r="J110" i="3"/>
  <c r="I110" i="3"/>
  <c r="H110" i="3"/>
  <c r="K109" i="3"/>
  <c r="J109" i="3"/>
  <c r="I109" i="3"/>
  <c r="H109" i="3"/>
  <c r="K108" i="3"/>
  <c r="J108" i="3"/>
  <c r="I108" i="3"/>
  <c r="H108" i="3"/>
  <c r="K107" i="3"/>
  <c r="J107" i="3"/>
  <c r="I107" i="3"/>
  <c r="H107" i="3"/>
  <c r="K106" i="3"/>
  <c r="J106" i="3"/>
  <c r="I106" i="3"/>
  <c r="H106" i="3"/>
  <c r="K105" i="3"/>
  <c r="J105" i="3"/>
  <c r="I105" i="3"/>
  <c r="H105" i="3"/>
  <c r="K104" i="3"/>
  <c r="J104" i="3"/>
  <c r="I104" i="3"/>
  <c r="H104" i="3"/>
  <c r="K103" i="3"/>
  <c r="J103" i="3"/>
  <c r="I103" i="3"/>
  <c r="H103" i="3"/>
  <c r="K102" i="3"/>
  <c r="J102" i="3"/>
  <c r="I102" i="3"/>
  <c r="H102" i="3"/>
  <c r="K101" i="3"/>
  <c r="J101" i="3"/>
  <c r="I101" i="3"/>
  <c r="H101" i="3"/>
  <c r="K100" i="3"/>
  <c r="J100" i="3"/>
  <c r="I100" i="3"/>
  <c r="H100" i="3"/>
  <c r="K99" i="3"/>
  <c r="J99" i="3"/>
  <c r="I99" i="3"/>
  <c r="H99" i="3"/>
  <c r="K98" i="3"/>
  <c r="J98" i="3"/>
  <c r="I98" i="3"/>
  <c r="H98" i="3"/>
  <c r="K97" i="3"/>
  <c r="J97" i="3"/>
  <c r="I97" i="3"/>
  <c r="H97" i="3"/>
  <c r="K96" i="3"/>
  <c r="J96" i="3"/>
  <c r="I96" i="3"/>
  <c r="H96" i="3"/>
  <c r="K95" i="3"/>
  <c r="J95" i="3"/>
  <c r="I95" i="3"/>
  <c r="H95" i="3"/>
  <c r="K94" i="3"/>
  <c r="J94" i="3"/>
  <c r="I94" i="3"/>
  <c r="H94" i="3"/>
  <c r="K93" i="3"/>
  <c r="J93" i="3"/>
  <c r="I93" i="3"/>
  <c r="H93" i="3"/>
  <c r="K92" i="3"/>
  <c r="J92" i="3"/>
  <c r="I92" i="3"/>
  <c r="H92" i="3"/>
  <c r="K91" i="3"/>
  <c r="J91" i="3"/>
  <c r="I91" i="3"/>
  <c r="H91" i="3"/>
  <c r="K90" i="3"/>
  <c r="J90" i="3"/>
  <c r="I90" i="3"/>
  <c r="H90" i="3"/>
  <c r="K89" i="3"/>
  <c r="J89" i="3"/>
  <c r="I89" i="3"/>
  <c r="H89" i="3"/>
  <c r="K88" i="3"/>
  <c r="J88" i="3"/>
  <c r="I88" i="3"/>
  <c r="H88" i="3"/>
  <c r="K87" i="3"/>
  <c r="J87" i="3"/>
  <c r="I87" i="3"/>
  <c r="H87" i="3"/>
  <c r="K86" i="3"/>
  <c r="J86" i="3"/>
  <c r="I86" i="3"/>
  <c r="H86" i="3"/>
  <c r="K85" i="3"/>
  <c r="J85" i="3"/>
  <c r="I85" i="3"/>
  <c r="H85" i="3"/>
  <c r="K84" i="3"/>
  <c r="J84" i="3"/>
  <c r="I84" i="3"/>
  <c r="H84" i="3"/>
  <c r="K83" i="3"/>
  <c r="J83" i="3"/>
  <c r="I83" i="3"/>
  <c r="H83" i="3"/>
  <c r="K82" i="3"/>
  <c r="J82" i="3"/>
  <c r="I82" i="3"/>
  <c r="H82" i="3"/>
  <c r="K81" i="3"/>
  <c r="J81" i="3"/>
  <c r="I81" i="3"/>
  <c r="H81" i="3"/>
  <c r="K80" i="3"/>
  <c r="J80" i="3"/>
  <c r="I80" i="3"/>
  <c r="H80" i="3"/>
  <c r="K79" i="3"/>
  <c r="J79" i="3"/>
  <c r="I79" i="3"/>
  <c r="H79" i="3"/>
  <c r="K78" i="3"/>
  <c r="J78" i="3"/>
  <c r="I78" i="3"/>
  <c r="H78" i="3"/>
  <c r="K77" i="3"/>
  <c r="J77" i="3"/>
  <c r="I77" i="3"/>
  <c r="H77" i="3"/>
  <c r="K76" i="3"/>
  <c r="J76" i="3"/>
  <c r="I76" i="3"/>
  <c r="H76" i="3"/>
  <c r="K75" i="3"/>
  <c r="J75" i="3"/>
  <c r="I75" i="3"/>
  <c r="H75" i="3"/>
  <c r="K74" i="3"/>
  <c r="J74" i="3"/>
  <c r="I74" i="3"/>
  <c r="H74" i="3"/>
  <c r="K73" i="3"/>
  <c r="J73" i="3"/>
  <c r="I73" i="3"/>
  <c r="H73" i="3"/>
  <c r="K72" i="3"/>
  <c r="J72" i="3"/>
  <c r="I72" i="3"/>
  <c r="H72" i="3"/>
  <c r="K71" i="3"/>
  <c r="J71" i="3"/>
  <c r="I71" i="3"/>
  <c r="H71" i="3"/>
  <c r="K70" i="3"/>
  <c r="J70" i="3"/>
  <c r="I70" i="3"/>
  <c r="H70" i="3"/>
  <c r="K69" i="3"/>
  <c r="J69" i="3"/>
  <c r="I69" i="3"/>
  <c r="H69" i="3"/>
  <c r="K68" i="3"/>
  <c r="J68" i="3"/>
  <c r="I68" i="3"/>
  <c r="H68" i="3"/>
  <c r="K67" i="3"/>
  <c r="J67" i="3"/>
  <c r="I67" i="3"/>
  <c r="H67" i="3"/>
  <c r="K66" i="3"/>
  <c r="J66" i="3"/>
  <c r="I66" i="3"/>
  <c r="H66" i="3"/>
  <c r="K65" i="3"/>
  <c r="J65" i="3"/>
  <c r="I65" i="3"/>
  <c r="H65" i="3"/>
  <c r="K64" i="3"/>
  <c r="J64" i="3"/>
  <c r="I64" i="3"/>
  <c r="H64" i="3"/>
  <c r="K63" i="3"/>
  <c r="J63" i="3"/>
  <c r="I63" i="3"/>
  <c r="H63" i="3"/>
  <c r="K62" i="3"/>
  <c r="J62" i="3"/>
  <c r="I62" i="3"/>
  <c r="H62" i="3"/>
  <c r="K61" i="3"/>
  <c r="J61" i="3"/>
  <c r="I61" i="3"/>
  <c r="H61" i="3"/>
  <c r="K60" i="3"/>
  <c r="J60" i="3"/>
  <c r="I60" i="3"/>
  <c r="H60" i="3"/>
  <c r="K59" i="3"/>
  <c r="J59" i="3"/>
  <c r="I59" i="3"/>
  <c r="H59" i="3"/>
  <c r="K58" i="3"/>
  <c r="J58" i="3"/>
  <c r="I58" i="3"/>
  <c r="H58" i="3"/>
  <c r="K57" i="3"/>
  <c r="J57" i="3"/>
  <c r="I57" i="3"/>
  <c r="H57" i="3"/>
  <c r="K56" i="3"/>
  <c r="J56" i="3"/>
  <c r="I56" i="3"/>
  <c r="H56" i="3"/>
  <c r="K55" i="3"/>
  <c r="J55" i="3"/>
  <c r="I55" i="3"/>
  <c r="H55" i="3"/>
  <c r="K54" i="3"/>
  <c r="J54" i="3"/>
  <c r="I54" i="3"/>
  <c r="H54" i="3"/>
  <c r="K53" i="3"/>
  <c r="J53" i="3"/>
  <c r="I53" i="3"/>
  <c r="H53" i="3"/>
  <c r="K52" i="3"/>
  <c r="J52" i="3"/>
  <c r="I52" i="3"/>
  <c r="H52" i="3"/>
  <c r="K51" i="3"/>
  <c r="J51" i="3"/>
  <c r="I51" i="3"/>
  <c r="H51" i="3"/>
  <c r="K50" i="3"/>
  <c r="J50" i="3"/>
  <c r="I50" i="3"/>
  <c r="H50" i="3"/>
  <c r="K49" i="3"/>
  <c r="J49" i="3"/>
  <c r="I49" i="3"/>
  <c r="H49" i="3"/>
  <c r="K48" i="3"/>
  <c r="J48" i="3"/>
  <c r="I48" i="3"/>
  <c r="H48" i="3"/>
  <c r="K47" i="3"/>
  <c r="J47" i="3"/>
  <c r="I47" i="3"/>
  <c r="H47" i="3"/>
  <c r="K46" i="3"/>
  <c r="J46" i="3"/>
  <c r="I46" i="3"/>
  <c r="H46" i="3"/>
  <c r="K45" i="3"/>
  <c r="J45" i="3"/>
  <c r="I45" i="3"/>
  <c r="H45" i="3"/>
  <c r="K44" i="3"/>
  <c r="J44" i="3"/>
  <c r="I44" i="3"/>
  <c r="H44" i="3"/>
  <c r="K43" i="3"/>
  <c r="J43" i="3"/>
  <c r="I43" i="3"/>
  <c r="H43" i="3"/>
  <c r="K42" i="3"/>
  <c r="J42" i="3"/>
  <c r="I42" i="3"/>
  <c r="H42" i="3"/>
  <c r="K41" i="3"/>
  <c r="J41" i="3"/>
  <c r="I41" i="3"/>
  <c r="H41" i="3"/>
  <c r="K40" i="3"/>
  <c r="J40" i="3"/>
  <c r="I40" i="3"/>
  <c r="H40" i="3"/>
  <c r="K39" i="3"/>
  <c r="J39" i="3"/>
  <c r="I39" i="3"/>
  <c r="H39" i="3"/>
  <c r="K38" i="3"/>
  <c r="J38" i="3"/>
  <c r="I38" i="3"/>
  <c r="H38" i="3"/>
  <c r="K37" i="3"/>
  <c r="J37" i="3"/>
  <c r="I37" i="3"/>
  <c r="H37" i="3"/>
  <c r="K36" i="3"/>
  <c r="J36" i="3"/>
  <c r="I36" i="3"/>
  <c r="H36" i="3"/>
  <c r="K35" i="3"/>
  <c r="J35" i="3"/>
  <c r="I35" i="3"/>
  <c r="H35" i="3"/>
  <c r="K34" i="3"/>
  <c r="J34" i="3"/>
  <c r="I34" i="3"/>
  <c r="H34" i="3"/>
  <c r="K33" i="3"/>
  <c r="J33" i="3"/>
  <c r="I33" i="3"/>
  <c r="H33" i="3"/>
  <c r="K32" i="3"/>
  <c r="J32" i="3"/>
  <c r="I32" i="3"/>
  <c r="H32" i="3"/>
  <c r="K31" i="3"/>
  <c r="J31" i="3"/>
  <c r="I31" i="3"/>
  <c r="H31" i="3"/>
  <c r="K30" i="3"/>
  <c r="J30" i="3"/>
  <c r="I30" i="3"/>
  <c r="H30" i="3"/>
  <c r="K29" i="3"/>
  <c r="J29" i="3"/>
  <c r="I29" i="3"/>
  <c r="H29" i="3"/>
  <c r="K28" i="3"/>
  <c r="J28" i="3"/>
  <c r="I28" i="3"/>
  <c r="H28" i="3"/>
  <c r="K27" i="3"/>
  <c r="J27" i="3"/>
  <c r="I27" i="3"/>
  <c r="H27" i="3"/>
  <c r="K26" i="3"/>
  <c r="J26" i="3"/>
  <c r="I26" i="3"/>
  <c r="H26" i="3"/>
  <c r="K25" i="3"/>
  <c r="J25" i="3"/>
  <c r="I25" i="3"/>
  <c r="H25" i="3"/>
  <c r="K24" i="3"/>
  <c r="J24" i="3"/>
  <c r="I24" i="3"/>
  <c r="H24" i="3"/>
  <c r="K23" i="3"/>
  <c r="J23" i="3"/>
  <c r="I23" i="3"/>
  <c r="H23" i="3"/>
  <c r="K22" i="3"/>
  <c r="J22" i="3"/>
  <c r="I22" i="3"/>
  <c r="H22" i="3"/>
  <c r="K21" i="3"/>
  <c r="J21" i="3"/>
  <c r="I21" i="3"/>
  <c r="H21" i="3"/>
  <c r="K20" i="3"/>
  <c r="J20" i="3"/>
  <c r="I20" i="3"/>
  <c r="H20" i="3"/>
  <c r="K19" i="3"/>
  <c r="J19" i="3"/>
  <c r="I19" i="3"/>
  <c r="H19" i="3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10" i="3"/>
  <c r="J10" i="3"/>
  <c r="I10" i="3"/>
  <c r="H10" i="3"/>
  <c r="K9" i="3"/>
  <c r="J9" i="3"/>
  <c r="I9" i="3"/>
  <c r="H9" i="3"/>
  <c r="H7" i="3"/>
  <c r="I7" i="3" s="1"/>
  <c r="G127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9" i="3"/>
  <c r="J7" i="3" l="1"/>
  <c r="K7" i="3" s="1"/>
  <c r="L7" i="3" s="1"/>
  <c r="M7" i="3" l="1"/>
  <c r="L123" i="3"/>
  <c r="L119" i="3"/>
  <c r="L115" i="3"/>
  <c r="L111" i="3"/>
  <c r="L107" i="3"/>
  <c r="L103" i="3"/>
  <c r="L99" i="3"/>
  <c r="L95" i="3"/>
  <c r="L91" i="3"/>
  <c r="L87" i="3"/>
  <c r="L83" i="3"/>
  <c r="L79" i="3"/>
  <c r="L75" i="3"/>
  <c r="L71" i="3"/>
  <c r="L67" i="3"/>
  <c r="L63" i="3"/>
  <c r="L59" i="3"/>
  <c r="L55" i="3"/>
  <c r="L51" i="3"/>
  <c r="L47" i="3"/>
  <c r="L43" i="3"/>
  <c r="L39" i="3"/>
  <c r="L35" i="3"/>
  <c r="L31" i="3"/>
  <c r="L27" i="3"/>
  <c r="L23" i="3"/>
  <c r="L19" i="3"/>
  <c r="L15" i="3"/>
  <c r="L11" i="3"/>
  <c r="L122" i="3"/>
  <c r="L118" i="3"/>
  <c r="L114" i="3"/>
  <c r="L110" i="3"/>
  <c r="L106" i="3"/>
  <c r="L102" i="3"/>
  <c r="L98" i="3"/>
  <c r="L94" i="3"/>
  <c r="L90" i="3"/>
  <c r="L86" i="3"/>
  <c r="L82" i="3"/>
  <c r="L78" i="3"/>
  <c r="L74" i="3"/>
  <c r="L70" i="3"/>
  <c r="L66" i="3"/>
  <c r="L62" i="3"/>
  <c r="L58" i="3"/>
  <c r="L54" i="3"/>
  <c r="L50" i="3"/>
  <c r="L46" i="3"/>
  <c r="L42" i="3"/>
  <c r="L38" i="3"/>
  <c r="L34" i="3"/>
  <c r="L30" i="3"/>
  <c r="L26" i="3"/>
  <c r="L22" i="3"/>
  <c r="L18" i="3"/>
  <c r="L14" i="3"/>
  <c r="L10" i="3"/>
  <c r="L121" i="3"/>
  <c r="L117" i="3"/>
  <c r="L113" i="3"/>
  <c r="L109" i="3"/>
  <c r="L105" i="3"/>
  <c r="L101" i="3"/>
  <c r="L97" i="3"/>
  <c r="L93" i="3"/>
  <c r="L89" i="3"/>
  <c r="L85" i="3"/>
  <c r="L81" i="3"/>
  <c r="L77" i="3"/>
  <c r="L73" i="3"/>
  <c r="L69" i="3"/>
  <c r="L65" i="3"/>
  <c r="L61" i="3"/>
  <c r="L57" i="3"/>
  <c r="L53" i="3"/>
  <c r="L49" i="3"/>
  <c r="L45" i="3"/>
  <c r="L41" i="3"/>
  <c r="L37" i="3"/>
  <c r="L33" i="3"/>
  <c r="L29" i="3"/>
  <c r="L25" i="3"/>
  <c r="L21" i="3"/>
  <c r="L17" i="3"/>
  <c r="L13" i="3"/>
  <c r="L9" i="3"/>
  <c r="L108" i="3"/>
  <c r="L92" i="3"/>
  <c r="L76" i="3"/>
  <c r="L60" i="3"/>
  <c r="L44" i="3"/>
  <c r="L28" i="3"/>
  <c r="L12" i="3"/>
  <c r="L96" i="3"/>
  <c r="L64" i="3"/>
  <c r="L32" i="3"/>
  <c r="L120" i="3"/>
  <c r="L104" i="3"/>
  <c r="L88" i="3"/>
  <c r="L72" i="3"/>
  <c r="L56" i="3"/>
  <c r="L40" i="3"/>
  <c r="L24" i="3"/>
  <c r="L116" i="3"/>
  <c r="L100" i="3"/>
  <c r="L84" i="3"/>
  <c r="L68" i="3"/>
  <c r="L52" i="3"/>
  <c r="L36" i="3"/>
  <c r="L20" i="3"/>
  <c r="L112" i="3"/>
  <c r="L80" i="3"/>
  <c r="L48" i="3"/>
  <c r="L16" i="3"/>
  <c r="N7" i="3" l="1"/>
  <c r="M122" i="3"/>
  <c r="M118" i="3"/>
  <c r="M114" i="3"/>
  <c r="M110" i="3"/>
  <c r="M106" i="3"/>
  <c r="M102" i="3"/>
  <c r="M98" i="3"/>
  <c r="M94" i="3"/>
  <c r="M90" i="3"/>
  <c r="M86" i="3"/>
  <c r="M82" i="3"/>
  <c r="M78" i="3"/>
  <c r="M74" i="3"/>
  <c r="M121" i="3"/>
  <c r="M120" i="3"/>
  <c r="M116" i="3"/>
  <c r="M112" i="3"/>
  <c r="M108" i="3"/>
  <c r="M104" i="3"/>
  <c r="M100" i="3"/>
  <c r="M96" i="3"/>
  <c r="M92" i="3"/>
  <c r="M88" i="3"/>
  <c r="M119" i="3"/>
  <c r="M111" i="3"/>
  <c r="M103" i="3"/>
  <c r="M95" i="3"/>
  <c r="M87" i="3"/>
  <c r="M81" i="3"/>
  <c r="M76" i="3"/>
  <c r="M71" i="3"/>
  <c r="M67" i="3"/>
  <c r="M63" i="3"/>
  <c r="M59" i="3"/>
  <c r="M55" i="3"/>
  <c r="M51" i="3"/>
  <c r="M47" i="3"/>
  <c r="M43" i="3"/>
  <c r="M39" i="3"/>
  <c r="M35" i="3"/>
  <c r="M31" i="3"/>
  <c r="M27" i="3"/>
  <c r="M23" i="3"/>
  <c r="M19" i="3"/>
  <c r="M15" i="3"/>
  <c r="M11" i="3"/>
  <c r="M113" i="3"/>
  <c r="M97" i="3"/>
  <c r="M83" i="3"/>
  <c r="M72" i="3"/>
  <c r="M60" i="3"/>
  <c r="M56" i="3"/>
  <c r="M117" i="3"/>
  <c r="M109" i="3"/>
  <c r="M101" i="3"/>
  <c r="M93" i="3"/>
  <c r="M85" i="3"/>
  <c r="M80" i="3"/>
  <c r="M75" i="3"/>
  <c r="M70" i="3"/>
  <c r="M66" i="3"/>
  <c r="M62" i="3"/>
  <c r="M58" i="3"/>
  <c r="M54" i="3"/>
  <c r="M50" i="3"/>
  <c r="M46" i="3"/>
  <c r="M42" i="3"/>
  <c r="M38" i="3"/>
  <c r="M34" i="3"/>
  <c r="M30" i="3"/>
  <c r="M26" i="3"/>
  <c r="M22" i="3"/>
  <c r="M18" i="3"/>
  <c r="M14" i="3"/>
  <c r="M10" i="3"/>
  <c r="M115" i="3"/>
  <c r="M107" i="3"/>
  <c r="M99" i="3"/>
  <c r="M91" i="3"/>
  <c r="M84" i="3"/>
  <c r="M79" i="3"/>
  <c r="M73" i="3"/>
  <c r="M69" i="3"/>
  <c r="M65" i="3"/>
  <c r="M61" i="3"/>
  <c r="M57" i="3"/>
  <c r="M53" i="3"/>
  <c r="M49" i="3"/>
  <c r="M45" i="3"/>
  <c r="M41" i="3"/>
  <c r="M37" i="3"/>
  <c r="M33" i="3"/>
  <c r="M29" i="3"/>
  <c r="M25" i="3"/>
  <c r="M21" i="3"/>
  <c r="M17" i="3"/>
  <c r="M13" i="3"/>
  <c r="M9" i="3"/>
  <c r="M123" i="3"/>
  <c r="M105" i="3"/>
  <c r="M89" i="3"/>
  <c r="M77" i="3"/>
  <c r="M64" i="3"/>
  <c r="M68" i="3"/>
  <c r="M40" i="3"/>
  <c r="M24" i="3"/>
  <c r="M44" i="3"/>
  <c r="M52" i="3"/>
  <c r="M36" i="3"/>
  <c r="M20" i="3"/>
  <c r="M28" i="3"/>
  <c r="M48" i="3"/>
  <c r="M32" i="3"/>
  <c r="M16" i="3"/>
  <c r="M12" i="3"/>
  <c r="O7" i="3" l="1"/>
  <c r="N123" i="3"/>
  <c r="N119" i="3"/>
  <c r="N115" i="3"/>
  <c r="N111" i="3"/>
  <c r="N107" i="3"/>
  <c r="N103" i="3"/>
  <c r="N99" i="3"/>
  <c r="N95" i="3"/>
  <c r="N91" i="3"/>
  <c r="N87" i="3"/>
  <c r="N83" i="3"/>
  <c r="N79" i="3"/>
  <c r="N75" i="3"/>
  <c r="N71" i="3"/>
  <c r="N67" i="3"/>
  <c r="N63" i="3"/>
  <c r="N59" i="3"/>
  <c r="N55" i="3"/>
  <c r="N51" i="3"/>
  <c r="N47" i="3"/>
  <c r="N43" i="3"/>
  <c r="N39" i="3"/>
  <c r="N35" i="3"/>
  <c r="N31" i="3"/>
  <c r="N27" i="3"/>
  <c r="N23" i="3"/>
  <c r="N19" i="3"/>
  <c r="N15" i="3"/>
  <c r="N11" i="3"/>
  <c r="N122" i="3"/>
  <c r="N118" i="3"/>
  <c r="N114" i="3"/>
  <c r="N110" i="3"/>
  <c r="N106" i="3"/>
  <c r="N102" i="3"/>
  <c r="N98" i="3"/>
  <c r="N94" i="3"/>
  <c r="N90" i="3"/>
  <c r="N86" i="3"/>
  <c r="N82" i="3"/>
  <c r="N78" i="3"/>
  <c r="N74" i="3"/>
  <c r="N70" i="3"/>
  <c r="N66" i="3"/>
  <c r="N62" i="3"/>
  <c r="N58" i="3"/>
  <c r="N54" i="3"/>
  <c r="N50" i="3"/>
  <c r="N46" i="3"/>
  <c r="N42" i="3"/>
  <c r="N38" i="3"/>
  <c r="N34" i="3"/>
  <c r="N30" i="3"/>
  <c r="N26" i="3"/>
  <c r="N22" i="3"/>
  <c r="N18" i="3"/>
  <c r="N14" i="3"/>
  <c r="N10" i="3"/>
  <c r="N121" i="3"/>
  <c r="N117" i="3"/>
  <c r="N113" i="3"/>
  <c r="N109" i="3"/>
  <c r="N105" i="3"/>
  <c r="N101" i="3"/>
  <c r="N97" i="3"/>
  <c r="N93" i="3"/>
  <c r="N89" i="3"/>
  <c r="N85" i="3"/>
  <c r="N81" i="3"/>
  <c r="N77" i="3"/>
  <c r="N73" i="3"/>
  <c r="N69" i="3"/>
  <c r="N65" i="3"/>
  <c r="N61" i="3"/>
  <c r="N57" i="3"/>
  <c r="N53" i="3"/>
  <c r="N49" i="3"/>
  <c r="N45" i="3"/>
  <c r="N41" i="3"/>
  <c r="N37" i="3"/>
  <c r="N33" i="3"/>
  <c r="N29" i="3"/>
  <c r="N25" i="3"/>
  <c r="N21" i="3"/>
  <c r="N17" i="3"/>
  <c r="N13" i="3"/>
  <c r="N9" i="3"/>
  <c r="N116" i="3"/>
  <c r="N100" i="3"/>
  <c r="N84" i="3"/>
  <c r="N68" i="3"/>
  <c r="N52" i="3"/>
  <c r="N36" i="3"/>
  <c r="N20" i="3"/>
  <c r="N120" i="3"/>
  <c r="N88" i="3"/>
  <c r="N56" i="3"/>
  <c r="N24" i="3"/>
  <c r="N112" i="3"/>
  <c r="N96" i="3"/>
  <c r="N80" i="3"/>
  <c r="N64" i="3"/>
  <c r="N48" i="3"/>
  <c r="N32" i="3"/>
  <c r="N16" i="3"/>
  <c r="N108" i="3"/>
  <c r="N92" i="3"/>
  <c r="N76" i="3"/>
  <c r="N60" i="3"/>
  <c r="N44" i="3"/>
  <c r="N28" i="3"/>
  <c r="N12" i="3"/>
  <c r="N104" i="3"/>
  <c r="N72" i="3"/>
  <c r="N40" i="3"/>
  <c r="P7" i="3" l="1"/>
  <c r="O120" i="3"/>
  <c r="O116" i="3"/>
  <c r="O112" i="3"/>
  <c r="O108" i="3"/>
  <c r="O104" i="3"/>
  <c r="O100" i="3"/>
  <c r="O96" i="3"/>
  <c r="O92" i="3"/>
  <c r="O88" i="3"/>
  <c r="O84" i="3"/>
  <c r="O80" i="3"/>
  <c r="O76" i="3"/>
  <c r="O72" i="3"/>
  <c r="O68" i="3"/>
  <c r="O64" i="3"/>
  <c r="O60" i="3"/>
  <c r="O56" i="3"/>
  <c r="O52" i="3"/>
  <c r="O48" i="3"/>
  <c r="O44" i="3"/>
  <c r="O40" i="3"/>
  <c r="O36" i="3"/>
  <c r="O32" i="3"/>
  <c r="O28" i="3"/>
  <c r="O24" i="3"/>
  <c r="O20" i="3"/>
  <c r="O16" i="3"/>
  <c r="O123" i="3"/>
  <c r="O119" i="3"/>
  <c r="O115" i="3"/>
  <c r="O111" i="3"/>
  <c r="O107" i="3"/>
  <c r="O103" i="3"/>
  <c r="O99" i="3"/>
  <c r="O95" i="3"/>
  <c r="O91" i="3"/>
  <c r="O87" i="3"/>
  <c r="O83" i="3"/>
  <c r="O79" i="3"/>
  <c r="O75" i="3"/>
  <c r="O71" i="3"/>
  <c r="O67" i="3"/>
  <c r="O63" i="3"/>
  <c r="O59" i="3"/>
  <c r="O55" i="3"/>
  <c r="O51" i="3"/>
  <c r="O47" i="3"/>
  <c r="O43" i="3"/>
  <c r="O39" i="3"/>
  <c r="O35" i="3"/>
  <c r="O31" i="3"/>
  <c r="O27" i="3"/>
  <c r="O23" i="3"/>
  <c r="O19" i="3"/>
  <c r="O15" i="3"/>
  <c r="O122" i="3"/>
  <c r="O114" i="3"/>
  <c r="O106" i="3"/>
  <c r="O98" i="3"/>
  <c r="O90" i="3"/>
  <c r="O82" i="3"/>
  <c r="O74" i="3"/>
  <c r="O66" i="3"/>
  <c r="O58" i="3"/>
  <c r="O50" i="3"/>
  <c r="O42" i="3"/>
  <c r="O34" i="3"/>
  <c r="O26" i="3"/>
  <c r="O18" i="3"/>
  <c r="O12" i="3"/>
  <c r="O121" i="3"/>
  <c r="O113" i="3"/>
  <c r="O105" i="3"/>
  <c r="O97" i="3"/>
  <c r="O89" i="3"/>
  <c r="O81" i="3"/>
  <c r="O73" i="3"/>
  <c r="O65" i="3"/>
  <c r="O57" i="3"/>
  <c r="O49" i="3"/>
  <c r="O41" i="3"/>
  <c r="O33" i="3"/>
  <c r="O25" i="3"/>
  <c r="O17" i="3"/>
  <c r="O11" i="3"/>
  <c r="O118" i="3"/>
  <c r="O110" i="3"/>
  <c r="O102" i="3"/>
  <c r="O94" i="3"/>
  <c r="O86" i="3"/>
  <c r="O78" i="3"/>
  <c r="O70" i="3"/>
  <c r="O62" i="3"/>
  <c r="O54" i="3"/>
  <c r="O46" i="3"/>
  <c r="O38" i="3"/>
  <c r="O30" i="3"/>
  <c r="O22" i="3"/>
  <c r="O14" i="3"/>
  <c r="O10" i="3"/>
  <c r="O117" i="3"/>
  <c r="O85" i="3"/>
  <c r="O53" i="3"/>
  <c r="O21" i="3"/>
  <c r="O109" i="3"/>
  <c r="O77" i="3"/>
  <c r="O45" i="3"/>
  <c r="O13" i="3"/>
  <c r="O101" i="3"/>
  <c r="O69" i="3"/>
  <c r="O37" i="3"/>
  <c r="O9" i="3"/>
  <c r="O93" i="3"/>
  <c r="O61" i="3"/>
  <c r="O29" i="3"/>
  <c r="G25" i="1" l="1"/>
  <c r="G79" i="1"/>
  <c r="G85" i="1"/>
  <c r="G12" i="1"/>
  <c r="G19" i="1"/>
  <c r="G83" i="1"/>
  <c r="G36" i="1"/>
  <c r="G100" i="1"/>
  <c r="G57" i="1"/>
  <c r="G95" i="1"/>
  <c r="G30" i="1"/>
  <c r="G41" i="1"/>
  <c r="G50" i="1"/>
  <c r="G56" i="1"/>
  <c r="G120" i="1"/>
  <c r="G121" i="1"/>
  <c r="G9" i="1"/>
  <c r="G38" i="1"/>
  <c r="G49" i="1"/>
  <c r="G58" i="1"/>
  <c r="G60" i="1"/>
  <c r="Q7" i="3"/>
  <c r="P121" i="3"/>
  <c r="P117" i="3"/>
  <c r="G117" i="1" s="1"/>
  <c r="P113" i="3"/>
  <c r="G113" i="1" s="1"/>
  <c r="P109" i="3"/>
  <c r="G109" i="1" s="1"/>
  <c r="P105" i="3"/>
  <c r="G105" i="1" s="1"/>
  <c r="P101" i="3"/>
  <c r="G101" i="1" s="1"/>
  <c r="P97" i="3"/>
  <c r="G97" i="1" s="1"/>
  <c r="P93" i="3"/>
  <c r="G93" i="1" s="1"/>
  <c r="P89" i="3"/>
  <c r="G89" i="1" s="1"/>
  <c r="P85" i="3"/>
  <c r="P81" i="3"/>
  <c r="G81" i="1" s="1"/>
  <c r="P77" i="3"/>
  <c r="G77" i="1" s="1"/>
  <c r="P73" i="3"/>
  <c r="G73" i="1" s="1"/>
  <c r="P69" i="3"/>
  <c r="G69" i="1" s="1"/>
  <c r="P65" i="3"/>
  <c r="G65" i="1" s="1"/>
  <c r="P61" i="3"/>
  <c r="G61" i="1" s="1"/>
  <c r="P57" i="3"/>
  <c r="P53" i="3"/>
  <c r="G53" i="1" s="1"/>
  <c r="P49" i="3"/>
  <c r="P45" i="3"/>
  <c r="G45" i="1" s="1"/>
  <c r="P41" i="3"/>
  <c r="P37" i="3"/>
  <c r="G37" i="1" s="1"/>
  <c r="P33" i="3"/>
  <c r="G33" i="1" s="1"/>
  <c r="P29" i="3"/>
  <c r="G29" i="1" s="1"/>
  <c r="P25" i="3"/>
  <c r="P21" i="3"/>
  <c r="G21" i="1" s="1"/>
  <c r="P17" i="3"/>
  <c r="G17" i="1" s="1"/>
  <c r="P13" i="3"/>
  <c r="G13" i="1" s="1"/>
  <c r="P9" i="3"/>
  <c r="P120" i="3"/>
  <c r="P116" i="3"/>
  <c r="G116" i="1" s="1"/>
  <c r="P112" i="3"/>
  <c r="G112" i="1" s="1"/>
  <c r="P108" i="3"/>
  <c r="G108" i="1" s="1"/>
  <c r="P104" i="3"/>
  <c r="G104" i="1" s="1"/>
  <c r="P100" i="3"/>
  <c r="P96" i="3"/>
  <c r="G96" i="1" s="1"/>
  <c r="P92" i="3"/>
  <c r="G92" i="1" s="1"/>
  <c r="P88" i="3"/>
  <c r="G88" i="1" s="1"/>
  <c r="P84" i="3"/>
  <c r="G84" i="1" s="1"/>
  <c r="P80" i="3"/>
  <c r="G80" i="1" s="1"/>
  <c r="P76" i="3"/>
  <c r="G76" i="1" s="1"/>
  <c r="P72" i="3"/>
  <c r="G72" i="1" s="1"/>
  <c r="P68" i="3"/>
  <c r="G68" i="1" s="1"/>
  <c r="P64" i="3"/>
  <c r="G64" i="1" s="1"/>
  <c r="P60" i="3"/>
  <c r="P56" i="3"/>
  <c r="P52" i="3"/>
  <c r="G52" i="1" s="1"/>
  <c r="P48" i="3"/>
  <c r="G48" i="1" s="1"/>
  <c r="P44" i="3"/>
  <c r="G44" i="1" s="1"/>
  <c r="P40" i="3"/>
  <c r="G40" i="1" s="1"/>
  <c r="P36" i="3"/>
  <c r="P32" i="3"/>
  <c r="G32" i="1" s="1"/>
  <c r="P28" i="3"/>
  <c r="G28" i="1" s="1"/>
  <c r="P24" i="3"/>
  <c r="G24" i="1" s="1"/>
  <c r="P20" i="3"/>
  <c r="G20" i="1" s="1"/>
  <c r="P16" i="3"/>
  <c r="G16" i="1" s="1"/>
  <c r="P12" i="3"/>
  <c r="P119" i="3"/>
  <c r="G119" i="1" s="1"/>
  <c r="P111" i="3"/>
  <c r="G111" i="1" s="1"/>
  <c r="P103" i="3"/>
  <c r="G103" i="1" s="1"/>
  <c r="P95" i="3"/>
  <c r="P87" i="3"/>
  <c r="G87" i="1" s="1"/>
  <c r="P79" i="3"/>
  <c r="P71" i="3"/>
  <c r="G71" i="1" s="1"/>
  <c r="P63" i="3"/>
  <c r="G63" i="1" s="1"/>
  <c r="P55" i="3"/>
  <c r="G55" i="1" s="1"/>
  <c r="P47" i="3"/>
  <c r="G47" i="1" s="1"/>
  <c r="P39" i="3"/>
  <c r="G39" i="1" s="1"/>
  <c r="P31" i="3"/>
  <c r="G31" i="1" s="1"/>
  <c r="P23" i="3"/>
  <c r="G23" i="1" s="1"/>
  <c r="P15" i="3"/>
  <c r="G15" i="1" s="1"/>
  <c r="P118" i="3"/>
  <c r="G118" i="1" s="1"/>
  <c r="P110" i="3"/>
  <c r="G110" i="1" s="1"/>
  <c r="P102" i="3"/>
  <c r="G102" i="1" s="1"/>
  <c r="P94" i="3"/>
  <c r="G94" i="1" s="1"/>
  <c r="P86" i="3"/>
  <c r="G86" i="1" s="1"/>
  <c r="P78" i="3"/>
  <c r="G78" i="1" s="1"/>
  <c r="P70" i="3"/>
  <c r="G70" i="1" s="1"/>
  <c r="P62" i="3"/>
  <c r="G62" i="1" s="1"/>
  <c r="P54" i="3"/>
  <c r="G54" i="1" s="1"/>
  <c r="P46" i="3"/>
  <c r="G46" i="1" s="1"/>
  <c r="P38" i="3"/>
  <c r="P30" i="3"/>
  <c r="P22" i="3"/>
  <c r="G22" i="1" s="1"/>
  <c r="P14" i="3"/>
  <c r="G14" i="1" s="1"/>
  <c r="P123" i="3"/>
  <c r="G123" i="1" s="1"/>
  <c r="P115" i="3"/>
  <c r="G115" i="1" s="1"/>
  <c r="P107" i="3"/>
  <c r="G107" i="1" s="1"/>
  <c r="P99" i="3"/>
  <c r="G99" i="1" s="1"/>
  <c r="P91" i="3"/>
  <c r="G91" i="1" s="1"/>
  <c r="P83" i="3"/>
  <c r="P75" i="3"/>
  <c r="G75" i="1" s="1"/>
  <c r="P67" i="3"/>
  <c r="G67" i="1" s="1"/>
  <c r="P59" i="3"/>
  <c r="G59" i="1" s="1"/>
  <c r="P51" i="3"/>
  <c r="G51" i="1" s="1"/>
  <c r="P43" i="3"/>
  <c r="G43" i="1" s="1"/>
  <c r="P35" i="3"/>
  <c r="G35" i="1" s="1"/>
  <c r="P27" i="3"/>
  <c r="G27" i="1" s="1"/>
  <c r="P19" i="3"/>
  <c r="P11" i="3"/>
  <c r="G11" i="1" s="1"/>
  <c r="P98" i="3"/>
  <c r="G98" i="1" s="1"/>
  <c r="P66" i="3"/>
  <c r="G66" i="1" s="1"/>
  <c r="P34" i="3"/>
  <c r="G34" i="1" s="1"/>
  <c r="P122" i="3"/>
  <c r="G122" i="1" s="1"/>
  <c r="P90" i="3"/>
  <c r="G90" i="1" s="1"/>
  <c r="P58" i="3"/>
  <c r="P26" i="3"/>
  <c r="G26" i="1" s="1"/>
  <c r="P114" i="3"/>
  <c r="G114" i="1" s="1"/>
  <c r="P82" i="3"/>
  <c r="G82" i="1" s="1"/>
  <c r="P50" i="3"/>
  <c r="P18" i="3"/>
  <c r="G18" i="1" s="1"/>
  <c r="P106" i="3"/>
  <c r="G106" i="1" s="1"/>
  <c r="P74" i="3"/>
  <c r="G74" i="1" s="1"/>
  <c r="P42" i="3"/>
  <c r="G42" i="1" s="1"/>
  <c r="P10" i="3"/>
  <c r="G10" i="1" s="1"/>
  <c r="Q123" i="3" l="1"/>
  <c r="Q119" i="3"/>
  <c r="Q115" i="3"/>
  <c r="Q122" i="3"/>
  <c r="Q118" i="3"/>
  <c r="Q114" i="3"/>
  <c r="Q110" i="3"/>
  <c r="Q106" i="3"/>
  <c r="Q102" i="3"/>
  <c r="Q98" i="3"/>
  <c r="Q94" i="3"/>
  <c r="Q90" i="3"/>
  <c r="Q86" i="3"/>
  <c r="Q82" i="3"/>
  <c r="Q78" i="3"/>
  <c r="Q74" i="3"/>
  <c r="Q70" i="3"/>
  <c r="Q66" i="3"/>
  <c r="Q62" i="3"/>
  <c r="Q58" i="3"/>
  <c r="Q54" i="3"/>
  <c r="Q50" i="3"/>
  <c r="Q46" i="3"/>
  <c r="Q42" i="3"/>
  <c r="Q38" i="3"/>
  <c r="Q34" i="3"/>
  <c r="Q30" i="3"/>
  <c r="Q26" i="3"/>
  <c r="Q22" i="3"/>
  <c r="Q18" i="3"/>
  <c r="Q14" i="3"/>
  <c r="Q10" i="3"/>
  <c r="Q121" i="3"/>
  <c r="Q117" i="3"/>
  <c r="Q113" i="3"/>
  <c r="Q109" i="3"/>
  <c r="Q105" i="3"/>
  <c r="Q101" i="3"/>
  <c r="Q97" i="3"/>
  <c r="Q93" i="3"/>
  <c r="Q89" i="3"/>
  <c r="Q85" i="3"/>
  <c r="Q81" i="3"/>
  <c r="Q77" i="3"/>
  <c r="Q73" i="3"/>
  <c r="Q69" i="3"/>
  <c r="Q65" i="3"/>
  <c r="Q61" i="3"/>
  <c r="Q57" i="3"/>
  <c r="Q53" i="3"/>
  <c r="Q49" i="3"/>
  <c r="Q45" i="3"/>
  <c r="Q41" i="3"/>
  <c r="Q37" i="3"/>
  <c r="Q33" i="3"/>
  <c r="Q29" i="3"/>
  <c r="Q25" i="3"/>
  <c r="Q21" i="3"/>
  <c r="Q17" i="3"/>
  <c r="Q13" i="3"/>
  <c r="Q9" i="3"/>
  <c r="Q120" i="3"/>
  <c r="Q108" i="3"/>
  <c r="Q100" i="3"/>
  <c r="Q92" i="3"/>
  <c r="Q84" i="3"/>
  <c r="Q76" i="3"/>
  <c r="Q68" i="3"/>
  <c r="Q60" i="3"/>
  <c r="Q52" i="3"/>
  <c r="Q44" i="3"/>
  <c r="Q36" i="3"/>
  <c r="Q28" i="3"/>
  <c r="Q20" i="3"/>
  <c r="Q12" i="3"/>
  <c r="Q116" i="3"/>
  <c r="Q107" i="3"/>
  <c r="Q99" i="3"/>
  <c r="Q91" i="3"/>
  <c r="Q83" i="3"/>
  <c r="Q75" i="3"/>
  <c r="Q67" i="3"/>
  <c r="Q59" i="3"/>
  <c r="Q51" i="3"/>
  <c r="Q43" i="3"/>
  <c r="Q35" i="3"/>
  <c r="Q27" i="3"/>
  <c r="Q19" i="3"/>
  <c r="Q11" i="3"/>
  <c r="Q112" i="3"/>
  <c r="Q104" i="3"/>
  <c r="Q96" i="3"/>
  <c r="Q88" i="3"/>
  <c r="Q80" i="3"/>
  <c r="Q72" i="3"/>
  <c r="Q64" i="3"/>
  <c r="Q56" i="3"/>
  <c r="Q48" i="3"/>
  <c r="Q40" i="3"/>
  <c r="Q32" i="3"/>
  <c r="Q24" i="3"/>
  <c r="Q16" i="3"/>
  <c r="Q111" i="3"/>
  <c r="Q79" i="3"/>
  <c r="Q47" i="3"/>
  <c r="Q15" i="3"/>
  <c r="Q55" i="3"/>
  <c r="Q103" i="3"/>
  <c r="Q71" i="3"/>
  <c r="Q39" i="3"/>
  <c r="Q23" i="3"/>
  <c r="Q95" i="3"/>
  <c r="Q63" i="3"/>
  <c r="Q31" i="3"/>
  <c r="Q87" i="3"/>
  <c r="B23" i="3" l="1"/>
  <c r="I23" i="1" s="1"/>
  <c r="R23" i="3"/>
  <c r="B39" i="3"/>
  <c r="I39" i="1" s="1"/>
  <c r="R39" i="3"/>
  <c r="B95" i="3"/>
  <c r="I95" i="1" s="1"/>
  <c r="R95" i="3"/>
  <c r="B103" i="3"/>
  <c r="I103" i="1" s="1"/>
  <c r="R103" i="3"/>
  <c r="B79" i="3"/>
  <c r="I79" i="1" s="1"/>
  <c r="R79" i="3"/>
  <c r="B32" i="3"/>
  <c r="I32" i="1" s="1"/>
  <c r="R32" i="3"/>
  <c r="B64" i="3"/>
  <c r="I64" i="1" s="1"/>
  <c r="R64" i="3"/>
  <c r="B96" i="3"/>
  <c r="I96" i="1" s="1"/>
  <c r="R96" i="3"/>
  <c r="B19" i="3"/>
  <c r="I19" i="1" s="1"/>
  <c r="R19" i="3"/>
  <c r="B51" i="3"/>
  <c r="I51" i="1" s="1"/>
  <c r="R51" i="3"/>
  <c r="B83" i="3"/>
  <c r="I83" i="1" s="1"/>
  <c r="R83" i="3"/>
  <c r="B116" i="3"/>
  <c r="I116" i="1" s="1"/>
  <c r="R116" i="3"/>
  <c r="B36" i="3"/>
  <c r="I36" i="1" s="1"/>
  <c r="R36" i="3"/>
  <c r="B68" i="3"/>
  <c r="I68" i="1" s="1"/>
  <c r="R68" i="3"/>
  <c r="B100" i="3"/>
  <c r="I100" i="1" s="1"/>
  <c r="R100" i="3"/>
  <c r="B13" i="3"/>
  <c r="I13" i="1" s="1"/>
  <c r="R13" i="3"/>
  <c r="B29" i="3"/>
  <c r="I29" i="1" s="1"/>
  <c r="R29" i="3"/>
  <c r="B45" i="3"/>
  <c r="I45" i="1" s="1"/>
  <c r="R45" i="3"/>
  <c r="B61" i="3"/>
  <c r="I61" i="1" s="1"/>
  <c r="R61" i="3"/>
  <c r="B77" i="3"/>
  <c r="I77" i="1" s="1"/>
  <c r="R77" i="3"/>
  <c r="B93" i="3"/>
  <c r="I93" i="1" s="1"/>
  <c r="R93" i="3"/>
  <c r="B109" i="3"/>
  <c r="I109" i="1" s="1"/>
  <c r="R109" i="3"/>
  <c r="B10" i="3"/>
  <c r="I10" i="1" s="1"/>
  <c r="R10" i="3"/>
  <c r="B26" i="3"/>
  <c r="I26" i="1" s="1"/>
  <c r="R26" i="3"/>
  <c r="B42" i="3"/>
  <c r="I42" i="1" s="1"/>
  <c r="R42" i="3"/>
  <c r="B58" i="3"/>
  <c r="I58" i="1" s="1"/>
  <c r="R58" i="3"/>
  <c r="B74" i="3"/>
  <c r="I74" i="1" s="1"/>
  <c r="R74" i="3"/>
  <c r="B90" i="3"/>
  <c r="I90" i="1" s="1"/>
  <c r="R90" i="3"/>
  <c r="B106" i="3"/>
  <c r="I106" i="1" s="1"/>
  <c r="R106" i="3"/>
  <c r="B122" i="3"/>
  <c r="I122" i="1" s="1"/>
  <c r="R122" i="3"/>
  <c r="B87" i="3"/>
  <c r="I87" i="1" s="1"/>
  <c r="R87" i="3"/>
  <c r="B111" i="3"/>
  <c r="I111" i="1" s="1"/>
  <c r="R111" i="3"/>
  <c r="B40" i="3"/>
  <c r="I40" i="1" s="1"/>
  <c r="R40" i="3"/>
  <c r="B72" i="3"/>
  <c r="I72" i="1" s="1"/>
  <c r="R72" i="3"/>
  <c r="B104" i="3"/>
  <c r="I104" i="1" s="1"/>
  <c r="R104" i="3"/>
  <c r="B27" i="3"/>
  <c r="I27" i="1" s="1"/>
  <c r="R27" i="3"/>
  <c r="B59" i="3"/>
  <c r="I59" i="1" s="1"/>
  <c r="R59" i="3"/>
  <c r="B91" i="3"/>
  <c r="I91" i="1" s="1"/>
  <c r="R91" i="3"/>
  <c r="B12" i="3"/>
  <c r="I12" i="1" s="1"/>
  <c r="R12" i="3"/>
  <c r="B44" i="3"/>
  <c r="I44" i="1" s="1"/>
  <c r="R44" i="3"/>
  <c r="B76" i="3"/>
  <c r="I76" i="1" s="1"/>
  <c r="R76" i="3"/>
  <c r="B108" i="3"/>
  <c r="I108" i="1" s="1"/>
  <c r="R108" i="3"/>
  <c r="B17" i="3"/>
  <c r="I17" i="1" s="1"/>
  <c r="R17" i="3"/>
  <c r="B33" i="3"/>
  <c r="I33" i="1" s="1"/>
  <c r="R33" i="3"/>
  <c r="B49" i="3"/>
  <c r="I49" i="1" s="1"/>
  <c r="R49" i="3"/>
  <c r="B65" i="3"/>
  <c r="I65" i="1" s="1"/>
  <c r="R65" i="3"/>
  <c r="B81" i="3"/>
  <c r="I81" i="1" s="1"/>
  <c r="R81" i="3"/>
  <c r="B97" i="3"/>
  <c r="I97" i="1" s="1"/>
  <c r="R97" i="3"/>
  <c r="B113" i="3"/>
  <c r="I113" i="1" s="1"/>
  <c r="R113" i="3"/>
  <c r="B14" i="3"/>
  <c r="I14" i="1" s="1"/>
  <c r="R14" i="3"/>
  <c r="B30" i="3"/>
  <c r="I30" i="1" s="1"/>
  <c r="R30" i="3"/>
  <c r="B46" i="3"/>
  <c r="I46" i="1" s="1"/>
  <c r="R46" i="3"/>
  <c r="B62" i="3"/>
  <c r="I62" i="1" s="1"/>
  <c r="R62" i="3"/>
  <c r="B78" i="3"/>
  <c r="I78" i="1" s="1"/>
  <c r="R78" i="3"/>
  <c r="B94" i="3"/>
  <c r="I94" i="1" s="1"/>
  <c r="R94" i="3"/>
  <c r="B110" i="3"/>
  <c r="I110" i="1" s="1"/>
  <c r="R110" i="3"/>
  <c r="B115" i="3"/>
  <c r="I115" i="1" s="1"/>
  <c r="R115" i="3"/>
  <c r="B31" i="3"/>
  <c r="I31" i="1" s="1"/>
  <c r="R31" i="3"/>
  <c r="B48" i="3"/>
  <c r="I48" i="1" s="1"/>
  <c r="R48" i="3"/>
  <c r="B112" i="3"/>
  <c r="I112" i="1" s="1"/>
  <c r="R112" i="3"/>
  <c r="B35" i="3"/>
  <c r="I35" i="1" s="1"/>
  <c r="R35" i="3"/>
  <c r="B67" i="3"/>
  <c r="I67" i="1" s="1"/>
  <c r="R67" i="3"/>
  <c r="B99" i="3"/>
  <c r="I99" i="1" s="1"/>
  <c r="R99" i="3"/>
  <c r="B20" i="3"/>
  <c r="I20" i="1" s="1"/>
  <c r="R20" i="3"/>
  <c r="B52" i="3"/>
  <c r="I52" i="1" s="1"/>
  <c r="R52" i="3"/>
  <c r="B84" i="3"/>
  <c r="I84" i="1" s="1"/>
  <c r="R84" i="3"/>
  <c r="B120" i="3"/>
  <c r="I120" i="1" s="1"/>
  <c r="R120" i="3"/>
  <c r="B21" i="3"/>
  <c r="I21" i="1" s="1"/>
  <c r="R21" i="3"/>
  <c r="B37" i="3"/>
  <c r="I37" i="1" s="1"/>
  <c r="R37" i="3"/>
  <c r="B53" i="3"/>
  <c r="I53" i="1" s="1"/>
  <c r="R53" i="3"/>
  <c r="B69" i="3"/>
  <c r="I69" i="1" s="1"/>
  <c r="R69" i="3"/>
  <c r="B85" i="3"/>
  <c r="I85" i="1" s="1"/>
  <c r="R85" i="3"/>
  <c r="B101" i="3"/>
  <c r="I101" i="1" s="1"/>
  <c r="R101" i="3"/>
  <c r="B117" i="3"/>
  <c r="I117" i="1" s="1"/>
  <c r="R117" i="3"/>
  <c r="B18" i="3"/>
  <c r="I18" i="1" s="1"/>
  <c r="R18" i="3"/>
  <c r="B34" i="3"/>
  <c r="I34" i="1" s="1"/>
  <c r="R34" i="3"/>
  <c r="B50" i="3"/>
  <c r="I50" i="1" s="1"/>
  <c r="R50" i="3"/>
  <c r="B66" i="3"/>
  <c r="I66" i="1" s="1"/>
  <c r="R66" i="3"/>
  <c r="B82" i="3"/>
  <c r="I82" i="1" s="1"/>
  <c r="R82" i="3"/>
  <c r="B98" i="3"/>
  <c r="I98" i="1" s="1"/>
  <c r="R98" i="3"/>
  <c r="B114" i="3"/>
  <c r="I114" i="1" s="1"/>
  <c r="R114" i="3"/>
  <c r="B119" i="3"/>
  <c r="I119" i="1" s="1"/>
  <c r="R119" i="3"/>
  <c r="B55" i="3"/>
  <c r="I55" i="1" s="1"/>
  <c r="R55" i="3"/>
  <c r="B15" i="3"/>
  <c r="I15" i="1" s="1"/>
  <c r="R15" i="3"/>
  <c r="B16" i="3"/>
  <c r="I16" i="1" s="1"/>
  <c r="R16" i="3"/>
  <c r="B80" i="3"/>
  <c r="I80" i="1" s="1"/>
  <c r="R80" i="3"/>
  <c r="B63" i="3"/>
  <c r="I63" i="1" s="1"/>
  <c r="R63" i="3"/>
  <c r="B71" i="3"/>
  <c r="I71" i="1" s="1"/>
  <c r="R71" i="3"/>
  <c r="B47" i="3"/>
  <c r="I47" i="1" s="1"/>
  <c r="R47" i="3"/>
  <c r="B24" i="3"/>
  <c r="I24" i="1" s="1"/>
  <c r="R24" i="3"/>
  <c r="B56" i="3"/>
  <c r="I56" i="1" s="1"/>
  <c r="R56" i="3"/>
  <c r="B88" i="3"/>
  <c r="I88" i="1" s="1"/>
  <c r="R88" i="3"/>
  <c r="B11" i="3"/>
  <c r="I11" i="1" s="1"/>
  <c r="R11" i="3"/>
  <c r="B43" i="3"/>
  <c r="I43" i="1" s="1"/>
  <c r="R43" i="3"/>
  <c r="B75" i="3"/>
  <c r="I75" i="1" s="1"/>
  <c r="R75" i="3"/>
  <c r="B107" i="3"/>
  <c r="I107" i="1" s="1"/>
  <c r="R107" i="3"/>
  <c r="B28" i="3"/>
  <c r="I28" i="1" s="1"/>
  <c r="R28" i="3"/>
  <c r="B60" i="3"/>
  <c r="I60" i="1" s="1"/>
  <c r="R60" i="3"/>
  <c r="B92" i="3"/>
  <c r="I92" i="1" s="1"/>
  <c r="R92" i="3"/>
  <c r="B9" i="3"/>
  <c r="I9" i="1" s="1"/>
  <c r="R9" i="3"/>
  <c r="B25" i="3"/>
  <c r="I25" i="1" s="1"/>
  <c r="R25" i="3"/>
  <c r="B41" i="3"/>
  <c r="I41" i="1" s="1"/>
  <c r="R41" i="3"/>
  <c r="B57" i="3"/>
  <c r="I57" i="1" s="1"/>
  <c r="R57" i="3"/>
  <c r="B73" i="3"/>
  <c r="I73" i="1" s="1"/>
  <c r="R73" i="3"/>
  <c r="B89" i="3"/>
  <c r="I89" i="1" s="1"/>
  <c r="R89" i="3"/>
  <c r="B105" i="3"/>
  <c r="I105" i="1" s="1"/>
  <c r="R105" i="3"/>
  <c r="B121" i="3"/>
  <c r="I121" i="1" s="1"/>
  <c r="R121" i="3"/>
  <c r="B22" i="3"/>
  <c r="I22" i="1" s="1"/>
  <c r="R22" i="3"/>
  <c r="B38" i="3"/>
  <c r="I38" i="1" s="1"/>
  <c r="R38" i="3"/>
  <c r="B54" i="3"/>
  <c r="I54" i="1" s="1"/>
  <c r="R54" i="3"/>
  <c r="B70" i="3"/>
  <c r="I70" i="1" s="1"/>
  <c r="R70" i="3"/>
  <c r="B86" i="3"/>
  <c r="I86" i="1" s="1"/>
  <c r="R86" i="3"/>
  <c r="B102" i="3"/>
  <c r="I102" i="1" s="1"/>
  <c r="R102" i="3"/>
  <c r="B118" i="3"/>
  <c r="I118" i="1" s="1"/>
  <c r="R118" i="3"/>
  <c r="B123" i="3"/>
  <c r="I123" i="1" s="1"/>
  <c r="R12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 Hamett</author>
  </authors>
  <commentList>
    <comment ref="G155" authorId="0" shapeId="0" xr:uid="{CB30C207-0CBE-4B13-9BAC-802B5FDBED78}">
      <text>
        <r>
          <rPr>
            <b/>
            <sz val="9"/>
            <color indexed="81"/>
            <rFont val="Tahoma"/>
            <charset val="1"/>
          </rPr>
          <t>Richard Hamett:</t>
        </r>
        <r>
          <rPr>
            <sz val="9"/>
            <color indexed="81"/>
            <rFont val="Tahoma"/>
            <charset val="1"/>
          </rPr>
          <t xml:space="preserve">
listed twice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Eskew</author>
  </authors>
  <commentList>
    <comment ref="AB6" authorId="0" shapeId="0" xr:uid="{FFFDD699-0D49-4E88-827E-F07DF2B6AE70}">
      <text>
        <r>
          <rPr>
            <b/>
            <sz val="9"/>
            <color indexed="81"/>
            <rFont val="Tahoma"/>
            <family val="2"/>
          </rPr>
          <t>Michael Eskew:</t>
        </r>
        <r>
          <rPr>
            <sz val="9"/>
            <color indexed="81"/>
            <rFont val="Tahoma"/>
            <family val="2"/>
          </rPr>
          <t xml:space="preserve">
0.05% of construction cost value came from CMD as what was paid in 2017 Bond Program</t>
        </r>
      </text>
    </comment>
    <comment ref="AC6" authorId="0" shapeId="0" xr:uid="{1BC57A2A-1481-4FEA-8B7F-DABF95CF1011}">
      <text>
        <r>
          <rPr>
            <b/>
            <sz val="9"/>
            <color indexed="81"/>
            <rFont val="Tahoma"/>
            <family val="2"/>
          </rPr>
          <t>Michael Eskew:</t>
        </r>
        <r>
          <rPr>
            <sz val="9"/>
            <color indexed="81"/>
            <rFont val="Tahoma"/>
            <family val="2"/>
          </rPr>
          <t xml:space="preserve">
0.2% of construction cost value came from CMD as what was paid in 2017 Bond Program</t>
        </r>
      </text>
    </comment>
  </commentList>
</comments>
</file>

<file path=xl/sharedStrings.xml><?xml version="1.0" encoding="utf-8"?>
<sst xmlns="http://schemas.openxmlformats.org/spreadsheetml/2006/main" count="1531" uniqueCount="375">
  <si>
    <t>Garcia YMLA</t>
  </si>
  <si>
    <t>Uphaus Early Childhood Center</t>
  </si>
  <si>
    <t>Rosedale School</t>
  </si>
  <si>
    <t>Richards SYWL</t>
  </si>
  <si>
    <t>School Groupings</t>
  </si>
  <si>
    <t>Priority 1 &amp;2</t>
  </si>
  <si>
    <t>Year 0</t>
  </si>
  <si>
    <t>Priority 3-5</t>
  </si>
  <si>
    <t>Year 1-5</t>
  </si>
  <si>
    <t>Priority 1</t>
  </si>
  <si>
    <t>Priority 2</t>
  </si>
  <si>
    <t>Year 6-10</t>
  </si>
  <si>
    <t>Priority 1-5</t>
  </si>
  <si>
    <t>Deficiency Profile Project Code</t>
  </si>
  <si>
    <t>Average Work Orders (3 Years)</t>
  </si>
  <si>
    <t>Interest Rate</t>
  </si>
  <si>
    <t>Targeted Project Budget</t>
  </si>
  <si>
    <t>Allison ES</t>
  </si>
  <si>
    <t>Anderson HS</t>
  </si>
  <si>
    <t>Andrews ES</t>
  </si>
  <si>
    <t>Austin HS</t>
  </si>
  <si>
    <t>Bailey MS</t>
  </si>
  <si>
    <t>Baldwin ES</t>
  </si>
  <si>
    <t>Baranoff ES</t>
  </si>
  <si>
    <t>Barrington ES</t>
  </si>
  <si>
    <t>Barton Hills ES</t>
  </si>
  <si>
    <t>Bear Creek ES</t>
  </si>
  <si>
    <t>Becker ES</t>
  </si>
  <si>
    <t>Bedichek MS</t>
  </si>
  <si>
    <t>Blackshear ES</t>
  </si>
  <si>
    <t>Blanton ES</t>
  </si>
  <si>
    <t>Blazier ES 4-6</t>
  </si>
  <si>
    <t>Blazier ES K-3</t>
  </si>
  <si>
    <t>Boone ES</t>
  </si>
  <si>
    <t>Bowie HS</t>
  </si>
  <si>
    <t>Brentwood ES</t>
  </si>
  <si>
    <t>Bryker Woods ES</t>
  </si>
  <si>
    <t>Burnet MS</t>
  </si>
  <si>
    <t>Campbell ES</t>
  </si>
  <si>
    <t>Casey ES</t>
  </si>
  <si>
    <t>Casis ES</t>
  </si>
  <si>
    <t>Clayton ES</t>
  </si>
  <si>
    <t>Clifton Center</t>
  </si>
  <si>
    <t>Cook ES</t>
  </si>
  <si>
    <t>Covington MS</t>
  </si>
  <si>
    <t>Cowan ES</t>
  </si>
  <si>
    <t>Crockett ECHS</t>
  </si>
  <si>
    <t>Cunningham ES</t>
  </si>
  <si>
    <t>Davis ES</t>
  </si>
  <si>
    <t>Dawson ES</t>
  </si>
  <si>
    <t>Dobie MS</t>
  </si>
  <si>
    <t>Doss ES</t>
  </si>
  <si>
    <t>Galindo ES</t>
  </si>
  <si>
    <t>Garza Independence HS</t>
  </si>
  <si>
    <t>Gorzycki MS</t>
  </si>
  <si>
    <t>Govalle ES</t>
  </si>
  <si>
    <t>Graham ES</t>
  </si>
  <si>
    <t>Guerrero Thompson ES</t>
  </si>
  <si>
    <t>Gullett ES</t>
  </si>
  <si>
    <t>Harris ES</t>
  </si>
  <si>
    <t>Hart ES</t>
  </si>
  <si>
    <t>Highland Park ES</t>
  </si>
  <si>
    <t>Hill ES</t>
  </si>
  <si>
    <t>Houston ES</t>
  </si>
  <si>
    <t>Jordan ES</t>
  </si>
  <si>
    <t>Joslin ES</t>
  </si>
  <si>
    <t>Kealing MS</t>
  </si>
  <si>
    <t>Kiker ES</t>
  </si>
  <si>
    <t>Kocurek ES</t>
  </si>
  <si>
    <t>Lamar MS</t>
  </si>
  <si>
    <t>Langford ES</t>
  </si>
  <si>
    <t>LBJ ECHS</t>
  </si>
  <si>
    <t>Lee ES</t>
  </si>
  <si>
    <t>Linder ES</t>
  </si>
  <si>
    <t>Lively MS</t>
  </si>
  <si>
    <t>Maplewood ES</t>
  </si>
  <si>
    <t>Martin MS</t>
  </si>
  <si>
    <t>Mathews ES</t>
  </si>
  <si>
    <t>McBee ES</t>
  </si>
  <si>
    <t>McCallum HS</t>
  </si>
  <si>
    <t>Menchaca ES</t>
  </si>
  <si>
    <t>Mendez MS</t>
  </si>
  <si>
    <t>Mills ES</t>
  </si>
  <si>
    <t>Murchison MS</t>
  </si>
  <si>
    <t>Navarro ECHS</t>
  </si>
  <si>
    <t>Norman Sims ES</t>
  </si>
  <si>
    <t>Northeast ECHS</t>
  </si>
  <si>
    <t>O. Henry MS</t>
  </si>
  <si>
    <t>Oak Hill ES</t>
  </si>
  <si>
    <t>Oak Springs ES</t>
  </si>
  <si>
    <t>Odom ES</t>
  </si>
  <si>
    <t>Ortega ES</t>
  </si>
  <si>
    <t>Overton ES</t>
  </si>
  <si>
    <t>Padron ES</t>
  </si>
  <si>
    <t>Palm ES</t>
  </si>
  <si>
    <t>Paredes MS</t>
  </si>
  <si>
    <t>Patton ES</t>
  </si>
  <si>
    <t>Pecan Springs ES</t>
  </si>
  <si>
    <t>Perez ES</t>
  </si>
  <si>
    <t>Pickle ES</t>
  </si>
  <si>
    <t>Pillow ES</t>
  </si>
  <si>
    <t>Pleasant Hill ES</t>
  </si>
  <si>
    <t>Pleasant Hill Annex</t>
  </si>
  <si>
    <t>Reilly ES</t>
  </si>
  <si>
    <t>Ridgetop ES</t>
  </si>
  <si>
    <t>Rodriguez ES</t>
  </si>
  <si>
    <t>Sanchez ES</t>
  </si>
  <si>
    <t>Small MS</t>
  </si>
  <si>
    <t>St. Elmo ES</t>
  </si>
  <si>
    <t>Summitt ES</t>
  </si>
  <si>
    <t>Sunset Valley ES</t>
  </si>
  <si>
    <t>Travis ECHS</t>
  </si>
  <si>
    <t>Travis Heights ES</t>
  </si>
  <si>
    <t>Walnut Creek ES</t>
  </si>
  <si>
    <t>Webb MS</t>
  </si>
  <si>
    <t>Widen ES</t>
  </si>
  <si>
    <t>Williams ES</t>
  </si>
  <si>
    <t>Winn ES</t>
  </si>
  <si>
    <t>Wooldridge ES</t>
  </si>
  <si>
    <t>Wooten ES</t>
  </si>
  <si>
    <t>Zavala ES</t>
  </si>
  <si>
    <t>Zilker ES</t>
  </si>
  <si>
    <t>Akins HS</t>
  </si>
  <si>
    <t>Brown ES</t>
  </si>
  <si>
    <t>Annita Coy (ALC)</t>
  </si>
  <si>
    <t>Eastside ECHS</t>
  </si>
  <si>
    <t>LASA HS</t>
  </si>
  <si>
    <t>Sadler Means YMLA</t>
  </si>
  <si>
    <t>School</t>
  </si>
  <si>
    <t>2019 Utility Costs</t>
  </si>
  <si>
    <t>Reduction</t>
  </si>
  <si>
    <t>Energy Reduction</t>
  </si>
  <si>
    <t>Net Present Value</t>
  </si>
  <si>
    <t>Project Cost Multiple</t>
  </si>
  <si>
    <t>Years 6-10 Escalator</t>
  </si>
  <si>
    <t>Assumptions</t>
  </si>
  <si>
    <t>Year 0 (P-ALL)</t>
  </si>
  <si>
    <t>Year 1 (P-ALL)</t>
  </si>
  <si>
    <t>Year 2 (P-ALL)</t>
  </si>
  <si>
    <t>Year 3 (P-ALL)</t>
  </si>
  <si>
    <t>Year 4 (P-ALL)</t>
  </si>
  <si>
    <t>Year 5 (P-ALL)</t>
  </si>
  <si>
    <t>Year 6 (P-ALL)</t>
  </si>
  <si>
    <t>Year 7 (P-ALL)</t>
  </si>
  <si>
    <t>Year 8 (P-ALL)</t>
  </si>
  <si>
    <t>Year 9 (P-ALL)</t>
  </si>
  <si>
    <t>Year 10 (P-ALL)</t>
  </si>
  <si>
    <t>Annual Maintaince Costs (2019-2020)</t>
  </si>
  <si>
    <t>Year 6-10 sum</t>
  </si>
  <si>
    <t>Modenization (Yes/No)</t>
  </si>
  <si>
    <t>LS</t>
  </si>
  <si>
    <t>Modernization - Type 1</t>
  </si>
  <si>
    <t>Modernization - Type 2</t>
  </si>
  <si>
    <t>School Type</t>
  </si>
  <si>
    <t>Elementary</t>
  </si>
  <si>
    <t>Middle School</t>
  </si>
  <si>
    <t>High School</t>
  </si>
  <si>
    <t>Cost per Sq-Ft Base</t>
  </si>
  <si>
    <t>Modernization Type</t>
  </si>
  <si>
    <t>Area of Improvement (Determin Min Sq-Ft)</t>
  </si>
  <si>
    <t>Yes</t>
  </si>
  <si>
    <t>Total</t>
  </si>
  <si>
    <t>Test</t>
  </si>
  <si>
    <t>Modernization Budget</t>
  </si>
  <si>
    <t>Anita Coy (ALC)</t>
  </si>
  <si>
    <t>All High Opp (With Mods)</t>
  </si>
  <si>
    <t>All High Opp (All)</t>
  </si>
  <si>
    <t>yes</t>
  </si>
  <si>
    <t>YES</t>
  </si>
  <si>
    <t>Budget</t>
  </si>
  <si>
    <t>Description</t>
  </si>
  <si>
    <t>Project Name</t>
  </si>
  <si>
    <t>Bond Line Item</t>
  </si>
  <si>
    <t>Budget Amount</t>
  </si>
  <si>
    <t>Buss Replacement Plan</t>
  </si>
  <si>
    <t>• Gen Ed Busses
• SPED Busses
• Activity Busses</t>
  </si>
  <si>
    <t>Electric Busses</t>
  </si>
  <si>
    <t>• 3 Electric Busses</t>
  </si>
  <si>
    <t>Include in Bond</t>
  </si>
  <si>
    <t>Tier (1-4)
20220627-LRP</t>
  </si>
  <si>
    <t>Akins ECHS</t>
  </si>
  <si>
    <t>Burger Athletic Complex</t>
  </si>
  <si>
    <t>Central Warehouse</t>
  </si>
  <si>
    <t>Coy Facility</t>
  </si>
  <si>
    <t>Delco Activity Center</t>
  </si>
  <si>
    <t>House Park</t>
  </si>
  <si>
    <t>Nelson Field</t>
  </si>
  <si>
    <t>Noack Sports Complex</t>
  </si>
  <si>
    <t>Performing Arts Center</t>
  </si>
  <si>
    <t>Facilities</t>
  </si>
  <si>
    <t>1_FAC-PS6.S2</t>
  </si>
  <si>
    <t>VAPA</t>
  </si>
  <si>
    <t>VAPA-5 Update Facilities</t>
  </si>
  <si>
    <t>VAPA-6 Performing spaces</t>
  </si>
  <si>
    <t>Athletics</t>
  </si>
  <si>
    <t>1-On-Campus Football Soccer</t>
  </si>
  <si>
    <t>Transportation, Food, Maintenance</t>
  </si>
  <si>
    <t>(T)FSM-5 Campus site Circulation</t>
  </si>
  <si>
    <t>T(FS)M_&amp; Dispersed Dinng</t>
  </si>
  <si>
    <t>Academics</t>
  </si>
  <si>
    <t>A-15-16 CTE Spaces</t>
  </si>
  <si>
    <t>3_FAC-PS6.S1</t>
  </si>
  <si>
    <t>2ES_FAC-PS1.S1</t>
  </si>
  <si>
    <t>VAPA-3 ES flex for 6th</t>
  </si>
  <si>
    <t>T(FS)M-10 Kitchen and Serving</t>
  </si>
  <si>
    <t>TFS(M) - Critical Infrastructure</t>
  </si>
  <si>
    <t>A-4 New Educator Planning Space</t>
  </si>
  <si>
    <t>A-24 Facilities for Existing Pre K</t>
  </si>
  <si>
    <t>T(FS)M-9 Community Pantry</t>
  </si>
  <si>
    <t>A-10_20 Universal Design</t>
  </si>
  <si>
    <t>A-2 Mental Health Spaces</t>
  </si>
  <si>
    <t>A-18 Private Toilet Rooms</t>
  </si>
  <si>
    <t>A-13 Video Hybrid Conferencing</t>
  </si>
  <si>
    <t>5-Central baseball softball</t>
  </si>
  <si>
    <t>2MS_FAC-PS1.S1</t>
  </si>
  <si>
    <t>89-Gyms &amp; Lockers</t>
  </si>
  <si>
    <t>10-Weight Rooms</t>
  </si>
  <si>
    <t>2HS_FAC-PS1.S1</t>
  </si>
  <si>
    <t>Full Modernization</t>
  </si>
  <si>
    <t>Bond 2017 Phase 2</t>
  </si>
  <si>
    <t>2-Central Stadiums</t>
  </si>
  <si>
    <t>None</t>
  </si>
  <si>
    <t>Move International HS admin</t>
  </si>
  <si>
    <t>Safety, Security Resiliency</t>
  </si>
  <si>
    <t>SSR-19 Fencing</t>
  </si>
  <si>
    <t>Districtwide</t>
  </si>
  <si>
    <t>Undesignated - for middle and high schools</t>
  </si>
  <si>
    <t>7-Ongoing Athletics Facilities</t>
  </si>
  <si>
    <t>Nelson Bus terminal</t>
  </si>
  <si>
    <t>(T)FSM-1b Nelson Complex Rebuild</t>
  </si>
  <si>
    <t>(T)FSM-2A All Bus Terminals Security</t>
  </si>
  <si>
    <t>Multiple Campuses/Facilities</t>
  </si>
  <si>
    <t>SSR-21 Entry Vestibules Add</t>
  </si>
  <si>
    <t>Technology</t>
  </si>
  <si>
    <t>1- Undesignated Technology</t>
  </si>
  <si>
    <t>LTE Enabled Single Operating System Student Devices</t>
  </si>
  <si>
    <t>Staff Devices</t>
  </si>
  <si>
    <t>Learning Space Display Upgrades</t>
  </si>
  <si>
    <t>Peripherals</t>
  </si>
  <si>
    <t>(included Cost of Ownership - delivery, white glove service, set up, replacements, warranty, accidental damage)</t>
  </si>
  <si>
    <t xml:space="preserve"> (included Cost of Ownership - delivery, white glove service, set up, replacements, warranty, accidental damage)</t>
  </si>
  <si>
    <t>(shifted language from Presentation Systems/Classroom Display to include ALL learning spaces for students)</t>
  </si>
  <si>
    <t>includes, but not limited to headsets, charging stations, maker spaces, robotics kits)</t>
  </si>
  <si>
    <t>Modernization Budget (Tier 1)</t>
  </si>
  <si>
    <t>Modernization Budget (Tier 2)</t>
  </si>
  <si>
    <t>Modernization Budgets</t>
  </si>
  <si>
    <t>List 1</t>
  </si>
  <si>
    <t>No</t>
  </si>
  <si>
    <t>Number of Modernizations (Phases  Included)</t>
  </si>
  <si>
    <t>Grouping Test</t>
  </si>
  <si>
    <t>Deficency and Modernization Analysis</t>
  </si>
  <si>
    <t>Existing Current
Sq-Ft</t>
  </si>
  <si>
    <t>School Facility Budget (SubTotal)</t>
  </si>
  <si>
    <t>Facility Budgets (Subtotal)</t>
  </si>
  <si>
    <t>School Facility Budget (SubTotal)
Step 1</t>
  </si>
  <si>
    <t>School Facility Budget (SubTotal)
Step 2</t>
  </si>
  <si>
    <t>Data Validation</t>
  </si>
  <si>
    <t>Subtotal of Strategies (Changes by selected strategies)</t>
  </si>
  <si>
    <t>TOTAL COST</t>
  </si>
  <si>
    <t>TOTAL - ELEMENTARY</t>
  </si>
  <si>
    <t>TOTAL - MIDDLE SCHOOL</t>
  </si>
  <si>
    <t>TOTAL - HIGH SCHOOL</t>
  </si>
  <si>
    <t>ON</t>
  </si>
  <si>
    <t>OFF</t>
  </si>
  <si>
    <t>MODERNIZATION</t>
  </si>
  <si>
    <t>MODERNIZATION HARD COSTS</t>
  </si>
  <si>
    <t>GENERAL CONDITIONS</t>
  </si>
  <si>
    <t>GENERAL REQUIREMENTS</t>
  </si>
  <si>
    <t>GL &amp; UMBRELLA INSURANCE</t>
  </si>
  <si>
    <t>BUILDERS RISK</t>
  </si>
  <si>
    <t>P&amp;P BONDS</t>
  </si>
  <si>
    <t>SDI BONDS / SUB BONDS</t>
  </si>
  <si>
    <t>RENTALS (SEE CELL NOTES)</t>
  </si>
  <si>
    <t xml:space="preserve">OBTAIN LEED CERTIFICATION </t>
  </si>
  <si>
    <t>CM FEE</t>
  </si>
  <si>
    <t xml:space="preserve">GENERAL CONTRACTOR SOFT COSTS </t>
  </si>
  <si>
    <t>UNFORESEEN CONDITIONS</t>
  </si>
  <si>
    <t>DESIGN CONTINGENCY</t>
  </si>
  <si>
    <t>CONTINGENCY SUBTOTAL</t>
  </si>
  <si>
    <t>SUBTOTAL:   BUILDING HARD COST + GC SOFT COSTS + CONTINGENCY</t>
  </si>
  <si>
    <t>DESIGN - ARCHITECT</t>
  </si>
  <si>
    <t>DESIGN - ADDITIONAL SERVICES</t>
  </si>
  <si>
    <t>SURVEY</t>
  </si>
  <si>
    <t>GEOTECH</t>
  </si>
  <si>
    <t>ENVELOPE TESTING</t>
  </si>
  <si>
    <t>ENVELOPE CONSULTANT</t>
  </si>
  <si>
    <t>ENERGY CONSULTANT (EWAS)</t>
  </si>
  <si>
    <t>SUSTAINABILITY (LEED/AEGB) COST PAID DIRECT</t>
  </si>
  <si>
    <t>COMMISSIONING (CxA) COST PAID DIRECT</t>
  </si>
  <si>
    <t>CONSTRUCTION INSPECTION</t>
  </si>
  <si>
    <t>SAFETY CONSULTANT</t>
  </si>
  <si>
    <t>OWNERS FF&amp;E (DESIGN &amp; PROCUREMENT)</t>
  </si>
  <si>
    <t>OWNERS FF&amp;E (FURNITURE)</t>
  </si>
  <si>
    <t>OWNERS FF&amp;E (EQUIPMENT)</t>
  </si>
  <si>
    <t>OWNERS MOVE-IN (MOVING SERVICES)</t>
  </si>
  <si>
    <t>COPYING &amp; PRINTING</t>
  </si>
  <si>
    <t>STATE REVIEW &amp; INSPECTION (TDLR)</t>
  </si>
  <si>
    <t>BUILDING PERMIT &amp; SERVICES</t>
  </si>
  <si>
    <t>OWNERS ADMIN COSTS (CMD BOND ADMIN - HARD COST)</t>
  </si>
  <si>
    <t>OWNERS ADMIN COSTS (CMD PERSONNEL)</t>
  </si>
  <si>
    <t>OWNERS ADMIN COSTS (OTHER DEPT PERSONNEL COST)</t>
  </si>
  <si>
    <t>HAZARDOUS MATERIAL CONSUTING &amp;  REMEDIATION</t>
  </si>
  <si>
    <t>LEGAL SERVICES</t>
  </si>
  <si>
    <t>NEWSPAPER ADVERTISING</t>
  </si>
  <si>
    <t>PHASING (POTENTIAL FOR LRP PROJECTS)</t>
  </si>
  <si>
    <t>SWING SPACE (WHEN EXISTING SPACE IS UNDER REMODEL)</t>
  </si>
  <si>
    <t>PROJECT MANAGEMENT (AISD)</t>
  </si>
  <si>
    <t>PROGRAM MANAGEMENT</t>
  </si>
  <si>
    <t xml:space="preserve">A.I.S.D SOFT COSTS </t>
  </si>
  <si>
    <t>ANTICIPATED ESCALATION COSTS</t>
  </si>
  <si>
    <t>ESCALATION  FACTOR</t>
  </si>
  <si>
    <t>%/YEAR</t>
  </si>
  <si>
    <t>BUILDING HARD COST + ESCALATION + CONTRACTOR SOFT COST + AISD SOFT COST</t>
  </si>
  <si>
    <t>[Table 3A]</t>
  </si>
  <si>
    <t>[Table 4A]</t>
  </si>
  <si>
    <t>ELEMENTARY (2 STORY) - type 1 small - Alison, Barrington, Cook, Galindo,Linder, Ridgetop, Williams</t>
  </si>
  <si>
    <t>SF</t>
  </si>
  <si>
    <t>DEMO</t>
  </si>
  <si>
    <t>DEMO OF EXISTING BUILDING</t>
  </si>
  <si>
    <t>DEMO OF EXISTING PARKING / FLATWORK</t>
  </si>
  <si>
    <t>DEMO/RELOCATION OF MISC SITE/STRUCTURES/LANDSCAPE (11 ACRES)</t>
  </si>
  <si>
    <t xml:space="preserve">NEW CONSTRUCTION </t>
  </si>
  <si>
    <t>NEW ELEMENTARY BUILDING (2 STORY)</t>
  </si>
  <si>
    <t xml:space="preserve">1ST FLOOR </t>
  </si>
  <si>
    <t>2ND FLOOR</t>
  </si>
  <si>
    <t>INFRASTRUCTURE - 10 ACRES
CIVIL/SITE/PAVING/UTILITIES</t>
  </si>
  <si>
    <t>SITE / CIVIL / UTILITY</t>
  </si>
  <si>
    <t>PAVING (40K SF)</t>
  </si>
  <si>
    <t>TOTAL</t>
  </si>
  <si>
    <t>ELEMENTARY (2 STORY) - type 1 med - Highland Park</t>
  </si>
  <si>
    <t xml:space="preserve">ELEMENTARY (2 STORY) - type 1 x small - Blackshear, Oak Springs, Odum, </t>
  </si>
  <si>
    <t>ELEMENTARY small type 2 - Harris, Palm, Wooldridge</t>
  </si>
  <si>
    <t>Renovation</t>
  </si>
  <si>
    <t>additions</t>
  </si>
  <si>
    <t>renovations</t>
  </si>
  <si>
    <t>MIDDLE SCHOOL (3 STORY) medium type 1
BURNET</t>
  </si>
  <si>
    <t>DEMO OF EXISTING TENNIS COURT (DOUBLES COURT OR 2 COURTS IN 1)</t>
  </si>
  <si>
    <t>DEMO OF EXISTING RUNNING TRACK</t>
  </si>
  <si>
    <t>DEMO/RELOCATION OF MISC SITE/STRUCTURES/LANDSCAPE (18 ACRES)</t>
  </si>
  <si>
    <t>NEW MIDDLE SCHOOL (3 STORY)</t>
  </si>
  <si>
    <t>3RD FLOOR</t>
  </si>
  <si>
    <t>NEW TENNIS COURTS (DOUBLE COURTS, IF NEEDED ADD $100K)</t>
  </si>
  <si>
    <t>EXCLUDED</t>
  </si>
  <si>
    <t>NEW RUNNING TRACK &amp; EQUIPMENT (IF NEEDED COST IS $1M</t>
  </si>
  <si>
    <t>INFRASTRUCTURE - 20 ACRES
CIVIL/SITE/PAVING/UTILITIES</t>
  </si>
  <si>
    <t>PAVING (65K SF)</t>
  </si>
  <si>
    <t>MIDDLE SCHOOL (3 STORY) small type 1
Alison, Barrington, Cook, Harris, Linder, Ridgetop, Williams</t>
  </si>
  <si>
    <t>MIDDLE SCHOOL (3 STORY) - x small type 1
(Webb, Sadler Means)</t>
  </si>
  <si>
    <t>MIDDLE SCHOOL (3 STORY) - x small type 2
Dobie</t>
  </si>
  <si>
    <t>HIGH SCHOOL (3 STORY) small type 1
(TRAVIS)</t>
  </si>
  <si>
    <t>DEMO/RELOCATION OF MISC SITE/STRUCTURES/LANDSCAPE (34 ACRES)</t>
  </si>
  <si>
    <t>NEW HIGH SCHOOL (3 STORY)</t>
  </si>
  <si>
    <t>NEW TENNIS COURTS (2 DOUBLE COURTS) (IF NEEDED ADD $200K)</t>
  </si>
  <si>
    <t>NEW FOOTBALL STADIUM + PARKING</t>
  </si>
  <si>
    <t>INFRASTRUCTURE - 40 ACRES
CIVIL/SITE/PAVING/UTILITIES</t>
  </si>
  <si>
    <t>PAVING (250K SF)</t>
  </si>
  <si>
    <t>HIGH SCHOOL (3 STORY) small type 2
(Navarro, Northeast)</t>
  </si>
  <si>
    <t>additonss</t>
  </si>
  <si>
    <t>HIGH SCHOOL  small type 2
(LBJ)</t>
  </si>
  <si>
    <t>SELECT DEMO</t>
  </si>
  <si>
    <t>INFRASTRUCTURE - 43 ACRES
CIVIL/SITE/PAVING/UTILITIES</t>
  </si>
  <si>
    <t>Means YWLA</t>
  </si>
  <si>
    <t>Column1</t>
  </si>
  <si>
    <t>Column2</t>
  </si>
  <si>
    <t>Def-Full Mod- LRP Strategies</t>
  </si>
  <si>
    <t>Transportation</t>
  </si>
  <si>
    <t>Non-Campus LRP Strategies</t>
  </si>
  <si>
    <t>Included in Bond Total</t>
  </si>
  <si>
    <t>Seagart Bus Terminal</t>
  </si>
  <si>
    <t>Modernization Subtotal</t>
  </si>
  <si>
    <t>A-15-16 CTE Spaces 1</t>
  </si>
  <si>
    <t>A-15-16 CTE Spaces 2</t>
  </si>
  <si>
    <t>A-15-16 CTE Spaces 3</t>
  </si>
  <si>
    <t>Non-Campus Projects</t>
  </si>
  <si>
    <t>LRP Strategies 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</si>
</sst>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Calibri"/>
      <family val="2"/>
    </font>
    <font>
      <sz val="11"/>
      <color theme="1"/>
      <name val="Century Gothic"/>
      <family val="2"/>
    </font>
    <font>
      <b/>
      <sz val="20"/>
      <color theme="1"/>
      <name val="Calibri"/>
      <family val="2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</font>
    <font>
      <sz val="20"/>
      <color theme="1"/>
      <name val="Calibri"/>
      <family val="2"/>
      <scheme val="minor"/>
    </font>
    <font>
      <sz val="20"/>
      <name val="Calibri"/>
      <family val="2"/>
    </font>
    <font>
      <sz val="20"/>
      <name val="Calibri"/>
      <family val="2"/>
      <scheme val="minor"/>
    </font>
    <font>
      <b/>
      <sz val="20"/>
      <color theme="4" tint="-0.249977111117893"/>
      <name val="Calibri"/>
      <family val="2"/>
    </font>
    <font>
      <b/>
      <sz val="20"/>
      <name val="Calibri"/>
      <family val="2"/>
      <scheme val="minor"/>
    </font>
    <font>
      <sz val="8"/>
      <name val="Century Gothic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rgb="FF000000"/>
      <name val="Trebuchet MS"/>
      <family val="2"/>
    </font>
    <font>
      <b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20"/>
      <color rgb="FF00B0F0"/>
      <name val="Calibri"/>
      <family val="2"/>
    </font>
    <font>
      <b/>
      <sz val="20"/>
      <name val="Calibri"/>
      <family val="2"/>
    </font>
    <font>
      <b/>
      <sz val="20"/>
      <color rgb="FF00B0F0"/>
      <name val="Calibri"/>
      <family val="2"/>
      <scheme val="minor"/>
    </font>
    <font>
      <sz val="11"/>
      <color rgb="FF0061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rgb="FF000000"/>
      <name val="Calibri"/>
      <family val="2"/>
      <scheme val="minor"/>
    </font>
    <font>
      <sz val="20"/>
      <color theme="4"/>
      <name val="Calibri"/>
      <family val="2"/>
      <scheme val="minor"/>
    </font>
    <font>
      <b/>
      <sz val="11"/>
      <color theme="1"/>
      <name val="Century Gothic"/>
      <family val="2"/>
    </font>
    <font>
      <b/>
      <sz val="11"/>
      <color rgb="FFFF0000"/>
      <name val="Century Gothic"/>
      <family val="2"/>
    </font>
    <font>
      <b/>
      <sz val="18"/>
      <color theme="1"/>
      <name val="Century Gothic"/>
      <family val="2"/>
    </font>
    <font>
      <b/>
      <sz val="10"/>
      <color rgb="FF000000"/>
      <name val="Century Gothic"/>
      <family val="2"/>
    </font>
    <font>
      <b/>
      <sz val="8"/>
      <color rgb="FF000000"/>
      <name val="Calibri"/>
      <family val="2"/>
    </font>
    <font>
      <b/>
      <sz val="10"/>
      <color rgb="FFFFFFFF"/>
      <name val="Century Gothic"/>
      <family val="2"/>
    </font>
    <font>
      <b/>
      <sz val="8"/>
      <color rgb="FFFFFFFF"/>
      <name val="Calibri"/>
      <family val="2"/>
    </font>
    <font>
      <sz val="8"/>
      <color theme="1"/>
      <name val="Century Gothic"/>
      <family val="2"/>
    </font>
    <font>
      <sz val="8"/>
      <color rgb="FF000000"/>
      <name val="Calibri"/>
      <family val="2"/>
    </font>
    <font>
      <sz val="8"/>
      <name val="Calibri"/>
      <family val="2"/>
    </font>
    <font>
      <b/>
      <sz val="8"/>
      <color rgb="FFFF0000"/>
      <name val="Calibri"/>
      <family val="2"/>
    </font>
    <font>
      <b/>
      <sz val="8"/>
      <color theme="1"/>
      <name val="Century Gothic"/>
      <family val="2"/>
    </font>
    <font>
      <b/>
      <sz val="10"/>
      <color theme="1"/>
      <name val="Century Gothic"/>
      <family val="2"/>
    </font>
    <font>
      <b/>
      <sz val="10"/>
      <name val="Century Gothic"/>
      <family val="2"/>
    </font>
    <font>
      <b/>
      <sz val="10"/>
      <color theme="0"/>
      <name val="Calibri"/>
      <family val="2"/>
    </font>
    <font>
      <b/>
      <sz val="10"/>
      <color rgb="FFFF0000"/>
      <name val="Century Gothic"/>
      <family val="2"/>
    </font>
    <font>
      <sz val="10"/>
      <color theme="4"/>
      <name val="Century Gothic"/>
      <family val="2"/>
    </font>
    <font>
      <b/>
      <sz val="20"/>
      <color theme="4"/>
      <name val="Century Gothic"/>
      <family val="2"/>
    </font>
    <font>
      <sz val="11"/>
      <color rgb="FFFF0000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scheme val="minor"/>
    </font>
    <font>
      <b/>
      <sz val="10"/>
      <color rgb="FF00B0F0"/>
      <name val="Calibri"/>
      <family val="2"/>
      <scheme val="minor"/>
    </font>
    <font>
      <sz val="11"/>
      <color theme="1"/>
      <name val="Calibri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theme="4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theme="1"/>
      </patternFill>
    </fill>
    <fill>
      <patternFill patternType="solid">
        <fgColor theme="6" tint="0.39997558519241921"/>
        <bgColor theme="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AC94D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548235"/>
        <bgColor indexed="64"/>
      </patternFill>
    </fill>
    <fill>
      <patternFill patternType="solid">
        <fgColor rgb="FFA83339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6CBEB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A6A6"/>
        <bgColor indexed="64"/>
      </patternFill>
    </fill>
  </fills>
  <borders count="6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dotted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8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14" borderId="25" applyNumberFormat="0" applyFont="0" applyAlignment="0" applyProtection="0"/>
    <xf numFmtId="0" fontId="33" fillId="21" borderId="0" applyNumberFormat="0" applyBorder="0" applyAlignment="0" applyProtection="0"/>
    <xf numFmtId="0" fontId="1" fillId="0" borderId="0"/>
    <xf numFmtId="0" fontId="1" fillId="14" borderId="25" applyNumberFormat="0" applyFont="0" applyAlignment="0" applyProtection="0"/>
    <xf numFmtId="43" fontId="1" fillId="0" borderId="0" applyFont="0" applyFill="0" applyBorder="0" applyAlignment="0" applyProtection="0"/>
  </cellStyleXfs>
  <cellXfs count="357">
    <xf numFmtId="0" fontId="0" fillId="0" borderId="0" xfId="0"/>
    <xf numFmtId="0" fontId="12" fillId="3" borderId="14" xfId="0" applyFont="1" applyFill="1" applyBorder="1" applyAlignment="1">
      <alignment horizontal="left"/>
    </xf>
    <xf numFmtId="0" fontId="12" fillId="3" borderId="15" xfId="0" applyFont="1" applyFill="1" applyBorder="1" applyAlignment="1">
      <alignment horizontal="left"/>
    </xf>
    <xf numFmtId="0" fontId="12" fillId="0" borderId="14" xfId="0" applyFont="1" applyFill="1" applyBorder="1" applyAlignment="1">
      <alignment horizontal="left"/>
    </xf>
    <xf numFmtId="0" fontId="9" fillId="0" borderId="14" xfId="0" applyFont="1" applyFill="1" applyBorder="1"/>
    <xf numFmtId="164" fontId="16" fillId="0" borderId="0" xfId="1" applyNumberFormat="1" applyFont="1"/>
    <xf numFmtId="165" fontId="17" fillId="0" borderId="0" xfId="5" applyNumberFormat="1" applyFont="1"/>
    <xf numFmtId="0" fontId="16" fillId="0" borderId="0" xfId="0" applyFont="1"/>
    <xf numFmtId="164" fontId="16" fillId="0" borderId="0" xfId="1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8" fillId="3" borderId="6" xfId="0" applyFont="1" applyFill="1" applyBorder="1" applyAlignment="1">
      <alignment horizontal="left"/>
    </xf>
    <xf numFmtId="164" fontId="16" fillId="2" borderId="2" xfId="1" applyNumberFormat="1" applyFont="1" applyFill="1" applyBorder="1"/>
    <xf numFmtId="164" fontId="18" fillId="3" borderId="2" xfId="1" applyNumberFormat="1" applyFont="1" applyFill="1" applyBorder="1"/>
    <xf numFmtId="165" fontId="20" fillId="2" borderId="2" xfId="5" applyNumberFormat="1" applyFont="1" applyFill="1" applyBorder="1"/>
    <xf numFmtId="0" fontId="18" fillId="0" borderId="6" xfId="0" applyFont="1" applyFill="1" applyBorder="1" applyAlignment="1">
      <alignment horizontal="left"/>
    </xf>
    <xf numFmtId="164" fontId="16" fillId="0" borderId="2" xfId="1" applyNumberFormat="1" applyFont="1" applyFill="1" applyBorder="1"/>
    <xf numFmtId="0" fontId="16" fillId="0" borderId="6" xfId="0" applyFont="1" applyFill="1" applyBorder="1"/>
    <xf numFmtId="0" fontId="18" fillId="3" borderId="8" xfId="0" applyFont="1" applyFill="1" applyBorder="1" applyAlignment="1">
      <alignment horizontal="left"/>
    </xf>
    <xf numFmtId="164" fontId="16" fillId="2" borderId="9" xfId="1" applyNumberFormat="1" applyFont="1" applyFill="1" applyBorder="1"/>
    <xf numFmtId="164" fontId="18" fillId="3" borderId="9" xfId="1" applyNumberFormat="1" applyFont="1" applyFill="1" applyBorder="1"/>
    <xf numFmtId="165" fontId="20" fillId="2" borderId="9" xfId="5" applyNumberFormat="1" applyFont="1" applyFill="1" applyBorder="1"/>
    <xf numFmtId="49" fontId="16" fillId="0" borderId="0" xfId="0" applyNumberFormat="1" applyFont="1"/>
    <xf numFmtId="164" fontId="17" fillId="0" borderId="0" xfId="1" applyNumberFormat="1" applyFont="1"/>
    <xf numFmtId="0" fontId="17" fillId="0" borderId="0" xfId="0" applyFont="1"/>
    <xf numFmtId="0" fontId="17" fillId="0" borderId="3" xfId="0" applyFont="1" applyBorder="1"/>
    <xf numFmtId="9" fontId="17" fillId="0" borderId="5" xfId="2" applyFont="1" applyBorder="1"/>
    <xf numFmtId="9" fontId="17" fillId="0" borderId="0" xfId="2" applyFont="1" applyBorder="1"/>
    <xf numFmtId="9" fontId="17" fillId="0" borderId="0" xfId="2" applyFont="1"/>
    <xf numFmtId="0" fontId="17" fillId="0" borderId="6" xfId="0" applyFont="1" applyBorder="1"/>
    <xf numFmtId="9" fontId="17" fillId="0" borderId="7" xfId="2" applyFont="1" applyBorder="1"/>
    <xf numFmtId="2" fontId="17" fillId="0" borderId="7" xfId="2" applyNumberFormat="1" applyFont="1" applyBorder="1"/>
    <xf numFmtId="2" fontId="17" fillId="0" borderId="0" xfId="2" applyNumberFormat="1" applyFont="1" applyBorder="1"/>
    <xf numFmtId="0" fontId="17" fillId="0" borderId="8" xfId="0" applyFont="1" applyBorder="1"/>
    <xf numFmtId="9" fontId="17" fillId="0" borderId="10" xfId="2" applyFont="1" applyBorder="1"/>
    <xf numFmtId="0" fontId="17" fillId="0" borderId="0" xfId="0" applyFont="1" applyBorder="1"/>
    <xf numFmtId="2" fontId="17" fillId="0" borderId="0" xfId="0" applyNumberFormat="1" applyFont="1"/>
    <xf numFmtId="0" fontId="21" fillId="6" borderId="3" xfId="0" applyFont="1" applyFill="1" applyBorder="1" applyAlignment="1">
      <alignment horizontal="center" vertical="center" wrapText="1"/>
    </xf>
    <xf numFmtId="0" fontId="21" fillId="6" borderId="4" xfId="0" applyFont="1" applyFill="1" applyBorder="1" applyAlignment="1">
      <alignment horizontal="center" vertical="center" wrapText="1"/>
    </xf>
    <xf numFmtId="164" fontId="21" fillId="6" borderId="4" xfId="1" applyNumberFormat="1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1" fillId="5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9" fillId="3" borderId="6" xfId="0" applyFont="1" applyFill="1" applyBorder="1" applyAlignment="1">
      <alignment horizontal="left"/>
    </xf>
    <xf numFmtId="6" fontId="19" fillId="3" borderId="2" xfId="0" applyNumberFormat="1" applyFont="1" applyFill="1" applyBorder="1" applyAlignment="1">
      <alignment horizontal="left"/>
    </xf>
    <xf numFmtId="164" fontId="18" fillId="3" borderId="2" xfId="0" applyNumberFormat="1" applyFont="1" applyFill="1" applyBorder="1" applyAlignment="1">
      <alignment horizontal="left"/>
    </xf>
    <xf numFmtId="0" fontId="16" fillId="0" borderId="2" xfId="3" applyFont="1" applyBorder="1"/>
    <xf numFmtId="164" fontId="19" fillId="3" borderId="2" xfId="1" applyNumberFormat="1" applyFont="1" applyFill="1" applyBorder="1" applyAlignment="1">
      <alignment horizontal="left"/>
    </xf>
    <xf numFmtId="164" fontId="17" fillId="0" borderId="2" xfId="1" applyNumberFormat="1" applyFont="1" applyBorder="1"/>
    <xf numFmtId="164" fontId="17" fillId="0" borderId="7" xfId="0" applyNumberFormat="1" applyFont="1" applyBorder="1"/>
    <xf numFmtId="0" fontId="19" fillId="0" borderId="6" xfId="0" applyFont="1" applyFill="1" applyBorder="1" applyAlignment="1">
      <alignment horizontal="left"/>
    </xf>
    <xf numFmtId="6" fontId="19" fillId="0" borderId="2" xfId="0" applyNumberFormat="1" applyFont="1" applyFill="1" applyBorder="1" applyAlignment="1">
      <alignment horizontal="left"/>
    </xf>
    <xf numFmtId="164" fontId="18" fillId="0" borderId="2" xfId="0" applyNumberFormat="1" applyFont="1" applyFill="1" applyBorder="1" applyAlignment="1">
      <alignment horizontal="left"/>
    </xf>
    <xf numFmtId="0" fontId="16" fillId="0" borderId="2" xfId="3" applyFont="1" applyFill="1" applyBorder="1"/>
    <xf numFmtId="164" fontId="19" fillId="0" borderId="2" xfId="1" applyNumberFormat="1" applyFont="1" applyFill="1" applyBorder="1" applyAlignment="1">
      <alignment horizontal="left"/>
    </xf>
    <xf numFmtId="164" fontId="17" fillId="0" borderId="2" xfId="1" applyNumberFormat="1" applyFont="1" applyFill="1" applyBorder="1"/>
    <xf numFmtId="164" fontId="17" fillId="0" borderId="7" xfId="0" applyNumberFormat="1" applyFont="1" applyFill="1" applyBorder="1"/>
    <xf numFmtId="0" fontId="17" fillId="4" borderId="0" xfId="0" applyFont="1" applyFill="1"/>
    <xf numFmtId="0" fontId="17" fillId="0" borderId="6" xfId="0" applyFont="1" applyFill="1" applyBorder="1"/>
    <xf numFmtId="0" fontId="19" fillId="3" borderId="8" xfId="0" applyFont="1" applyFill="1" applyBorder="1" applyAlignment="1">
      <alignment horizontal="left"/>
    </xf>
    <xf numFmtId="6" fontId="19" fillId="3" borderId="9" xfId="0" applyNumberFormat="1" applyFont="1" applyFill="1" applyBorder="1" applyAlignment="1">
      <alignment horizontal="left"/>
    </xf>
    <xf numFmtId="164" fontId="18" fillId="3" borderId="9" xfId="0" applyNumberFormat="1" applyFont="1" applyFill="1" applyBorder="1" applyAlignment="1">
      <alignment horizontal="left"/>
    </xf>
    <xf numFmtId="0" fontId="16" fillId="0" borderId="9" xfId="3" applyFont="1" applyBorder="1"/>
    <xf numFmtId="164" fontId="17" fillId="0" borderId="9" xfId="1" applyNumberFormat="1" applyFont="1" applyBorder="1"/>
    <xf numFmtId="164" fontId="19" fillId="3" borderId="9" xfId="1" applyNumberFormat="1" applyFont="1" applyFill="1" applyBorder="1" applyAlignment="1">
      <alignment horizontal="left"/>
    </xf>
    <xf numFmtId="164" fontId="17" fillId="0" borderId="10" xfId="0" applyNumberFormat="1" applyFont="1" applyBorder="1"/>
    <xf numFmtId="1" fontId="16" fillId="0" borderId="0" xfId="1" applyNumberFormat="1" applyFont="1"/>
    <xf numFmtId="1" fontId="16" fillId="0" borderId="0" xfId="1" applyNumberFormat="1" applyFont="1" applyAlignment="1">
      <alignment horizontal="center" vertical="center" wrapText="1"/>
    </xf>
    <xf numFmtId="1" fontId="16" fillId="2" borderId="2" xfId="1" applyNumberFormat="1" applyFont="1" applyFill="1" applyBorder="1"/>
    <xf numFmtId="0" fontId="12" fillId="0" borderId="20" xfId="0" applyFont="1" applyFill="1" applyBorder="1" applyAlignment="1">
      <alignment horizontal="left"/>
    </xf>
    <xf numFmtId="0" fontId="9" fillId="0" borderId="20" xfId="0" applyFont="1" applyFill="1" applyBorder="1"/>
    <xf numFmtId="0" fontId="12" fillId="3" borderId="20" xfId="0" applyFont="1" applyFill="1" applyBorder="1" applyAlignment="1">
      <alignment horizontal="left"/>
    </xf>
    <xf numFmtId="0" fontId="12" fillId="3" borderId="21" xfId="0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6" xfId="0" applyBorder="1"/>
    <xf numFmtId="0" fontId="0" fillId="0" borderId="2" xfId="0" applyBorder="1"/>
    <xf numFmtId="0" fontId="0" fillId="0" borderId="8" xfId="0" applyBorder="1"/>
    <xf numFmtId="0" fontId="0" fillId="0" borderId="9" xfId="0" applyBorder="1"/>
    <xf numFmtId="0" fontId="3" fillId="0" borderId="6" xfId="0" applyFont="1" applyBorder="1"/>
    <xf numFmtId="0" fontId="3" fillId="0" borderId="2" xfId="0" applyFont="1" applyBorder="1"/>
    <xf numFmtId="0" fontId="3" fillId="0" borderId="7" xfId="0" applyFont="1" applyBorder="1"/>
    <xf numFmtId="0" fontId="0" fillId="0" borderId="2" xfId="0" applyBorder="1" applyAlignment="1">
      <alignment wrapText="1"/>
    </xf>
    <xf numFmtId="164" fontId="18" fillId="0" borderId="2" xfId="1" applyNumberFormat="1" applyFont="1" applyFill="1" applyBorder="1"/>
    <xf numFmtId="1" fontId="16" fillId="0" borderId="2" xfId="1" applyNumberFormat="1" applyFont="1" applyFill="1" applyBorder="1"/>
    <xf numFmtId="165" fontId="20" fillId="0" borderId="2" xfId="5" applyNumberFormat="1" applyFont="1" applyFill="1" applyBorder="1"/>
    <xf numFmtId="0" fontId="16" fillId="0" borderId="0" xfId="0" applyFont="1" applyFill="1"/>
    <xf numFmtId="0" fontId="16" fillId="0" borderId="2" xfId="0" applyFont="1" applyFill="1" applyBorder="1"/>
    <xf numFmtId="164" fontId="16" fillId="2" borderId="17" xfId="1" applyNumberFormat="1" applyFont="1" applyFill="1" applyBorder="1"/>
    <xf numFmtId="164" fontId="16" fillId="0" borderId="0" xfId="0" applyNumberFormat="1" applyFont="1"/>
    <xf numFmtId="0" fontId="25" fillId="0" borderId="0" xfId="0" applyFont="1" applyAlignment="1">
      <alignment vertical="center"/>
    </xf>
    <xf numFmtId="0" fontId="3" fillId="0" borderId="6" xfId="0" applyFont="1" applyBorder="1" applyAlignment="1">
      <alignment wrapText="1"/>
    </xf>
    <xf numFmtId="164" fontId="0" fillId="0" borderId="2" xfId="1" applyNumberFormat="1" applyFont="1" applyBorder="1" applyAlignment="1">
      <alignment wrapText="1"/>
    </xf>
    <xf numFmtId="164" fontId="0" fillId="0" borderId="6" xfId="1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wrapText="1"/>
    </xf>
    <xf numFmtId="0" fontId="28" fillId="0" borderId="0" xfId="0" applyFont="1"/>
    <xf numFmtId="0" fontId="28" fillId="12" borderId="28" xfId="0" applyFont="1" applyFill="1" applyBorder="1"/>
    <xf numFmtId="0" fontId="26" fillId="8" borderId="6" xfId="0" applyFont="1" applyFill="1" applyBorder="1" applyAlignment="1">
      <alignment horizontal="center" vertical="center" wrapText="1"/>
    </xf>
    <xf numFmtId="0" fontId="26" fillId="8" borderId="2" xfId="0" applyFont="1" applyFill="1" applyBorder="1" applyAlignment="1">
      <alignment horizontal="center" vertical="center" wrapText="1"/>
    </xf>
    <xf numFmtId="0" fontId="26" fillId="8" borderId="7" xfId="0" applyFont="1" applyFill="1" applyBorder="1" applyAlignment="1">
      <alignment horizontal="center" vertical="center" wrapText="1"/>
    </xf>
    <xf numFmtId="0" fontId="28" fillId="0" borderId="29" xfId="0" applyFont="1" applyBorder="1"/>
    <xf numFmtId="0" fontId="29" fillId="0" borderId="6" xfId="0" applyFont="1" applyBorder="1"/>
    <xf numFmtId="164" fontId="29" fillId="0" borderId="2" xfId="1" applyNumberFormat="1" applyFont="1" applyBorder="1"/>
    <xf numFmtId="0" fontId="29" fillId="0" borderId="7" xfId="0" applyFont="1" applyBorder="1"/>
    <xf numFmtId="0" fontId="28" fillId="0" borderId="30" xfId="0" applyFont="1" applyBorder="1"/>
    <xf numFmtId="0" fontId="29" fillId="0" borderId="8" xfId="0" applyFont="1" applyBorder="1"/>
    <xf numFmtId="164" fontId="29" fillId="0" borderId="9" xfId="1" applyNumberFormat="1" applyFont="1" applyBorder="1"/>
    <xf numFmtId="0" fontId="29" fillId="0" borderId="10" xfId="0" applyFont="1" applyBorder="1"/>
    <xf numFmtId="0" fontId="16" fillId="0" borderId="31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30" fillId="3" borderId="2" xfId="0" applyFont="1" applyFill="1" applyBorder="1"/>
    <xf numFmtId="0" fontId="16" fillId="0" borderId="0" xfId="0" applyFont="1" applyBorder="1" applyAlignment="1">
      <alignment horizontal="center" vertical="center" wrapText="1"/>
    </xf>
    <xf numFmtId="164" fontId="14" fillId="0" borderId="0" xfId="0" applyNumberFormat="1" applyFont="1"/>
    <xf numFmtId="0" fontId="30" fillId="2" borderId="2" xfId="0" applyFont="1" applyFill="1" applyBorder="1"/>
    <xf numFmtId="0" fontId="30" fillId="0" borderId="2" xfId="0" applyFont="1" applyFill="1" applyBorder="1"/>
    <xf numFmtId="165" fontId="17" fillId="0" borderId="2" xfId="5" applyNumberFormat="1" applyFont="1" applyBorder="1" applyAlignment="1">
      <alignment vertical="top"/>
    </xf>
    <xf numFmtId="44" fontId="31" fillId="2" borderId="2" xfId="1" applyFont="1" applyFill="1" applyBorder="1"/>
    <xf numFmtId="0" fontId="31" fillId="2" borderId="2" xfId="0" applyFont="1" applyFill="1" applyBorder="1"/>
    <xf numFmtId="165" fontId="17" fillId="0" borderId="2" xfId="5" applyNumberFormat="1" applyFont="1" applyFill="1" applyBorder="1" applyAlignment="1"/>
    <xf numFmtId="0" fontId="31" fillId="0" borderId="2" xfId="0" applyFont="1" applyFill="1" applyBorder="1"/>
    <xf numFmtId="165" fontId="17" fillId="0" borderId="2" xfId="5" applyNumberFormat="1" applyFont="1" applyFill="1" applyBorder="1" applyAlignment="1">
      <alignment vertical="top"/>
    </xf>
    <xf numFmtId="165" fontId="17" fillId="0" borderId="2" xfId="5" applyNumberFormat="1" applyFont="1" applyBorder="1" applyAlignment="1"/>
    <xf numFmtId="1" fontId="16" fillId="2" borderId="9" xfId="1" applyNumberFormat="1" applyFont="1" applyFill="1" applyBorder="1"/>
    <xf numFmtId="0" fontId="30" fillId="3" borderId="9" xfId="0" applyFont="1" applyFill="1" applyBorder="1"/>
    <xf numFmtId="165" fontId="17" fillId="0" borderId="9" xfId="5" applyNumberFormat="1" applyFont="1" applyBorder="1" applyAlignment="1"/>
    <xf numFmtId="0" fontId="30" fillId="2" borderId="9" xfId="0" applyFont="1" applyFill="1" applyBorder="1"/>
    <xf numFmtId="44" fontId="31" fillId="2" borderId="9" xfId="1" applyFont="1" applyFill="1" applyBorder="1"/>
    <xf numFmtId="0" fontId="31" fillId="2" borderId="9" xfId="0" applyFont="1" applyFill="1" applyBorder="1"/>
    <xf numFmtId="164" fontId="16" fillId="15" borderId="2" xfId="1" applyNumberFormat="1" applyFont="1" applyFill="1" applyBorder="1"/>
    <xf numFmtId="164" fontId="16" fillId="15" borderId="9" xfId="1" applyNumberFormat="1" applyFont="1" applyFill="1" applyBorder="1"/>
    <xf numFmtId="1" fontId="18" fillId="16" borderId="4" xfId="1" applyNumberFormat="1" applyFont="1" applyFill="1" applyBorder="1" applyAlignment="1">
      <alignment horizontal="center" vertical="center" wrapText="1"/>
    </xf>
    <xf numFmtId="164" fontId="18" fillId="18" borderId="2" xfId="1" applyNumberFormat="1" applyFont="1" applyFill="1" applyBorder="1" applyAlignment="1">
      <alignment horizontal="center" vertical="center" wrapText="1"/>
    </xf>
    <xf numFmtId="0" fontId="15" fillId="16" borderId="4" xfId="0" applyFont="1" applyFill="1" applyBorder="1" applyAlignment="1">
      <alignment horizontal="center" vertical="center" wrapText="1"/>
    </xf>
    <xf numFmtId="44" fontId="16" fillId="0" borderId="0" xfId="0" applyNumberFormat="1" applyFont="1" applyBorder="1" applyAlignment="1">
      <alignment horizontal="center" vertical="center" wrapText="1"/>
    </xf>
    <xf numFmtId="0" fontId="17" fillId="0" borderId="0" xfId="0" applyFont="1" applyFill="1"/>
    <xf numFmtId="164" fontId="32" fillId="19" borderId="27" xfId="1" applyNumberFormat="1" applyFont="1" applyFill="1" applyBorder="1" applyAlignment="1">
      <alignment horizontal="center" vertical="center"/>
    </xf>
    <xf numFmtId="164" fontId="32" fillId="19" borderId="2" xfId="1" applyNumberFormat="1" applyFont="1" applyFill="1" applyBorder="1" applyAlignment="1">
      <alignment horizontal="center" vertical="center"/>
    </xf>
    <xf numFmtId="164" fontId="32" fillId="19" borderId="16" xfId="1" applyNumberFormat="1" applyFont="1" applyFill="1" applyBorder="1" applyAlignment="1">
      <alignment horizontal="center" vertical="center"/>
    </xf>
    <xf numFmtId="0" fontId="17" fillId="0" borderId="2" xfId="0" applyFont="1" applyFill="1" applyBorder="1"/>
    <xf numFmtId="0" fontId="17" fillId="0" borderId="2" xfId="0" applyFont="1" applyFill="1" applyBorder="1" applyAlignment="1">
      <alignment horizontal="center"/>
    </xf>
    <xf numFmtId="0" fontId="32" fillId="0" borderId="2" xfId="0" applyFont="1" applyFill="1" applyBorder="1" applyAlignment="1">
      <alignment horizontal="center"/>
    </xf>
    <xf numFmtId="164" fontId="17" fillId="0" borderId="41" xfId="0" applyNumberFormat="1" applyFont="1" applyFill="1" applyBorder="1"/>
    <xf numFmtId="164" fontId="17" fillId="0" borderId="42" xfId="0" applyNumberFormat="1" applyFont="1" applyFill="1" applyBorder="1" applyAlignment="1">
      <alignment vertical="center" wrapText="1"/>
    </xf>
    <xf numFmtId="0" fontId="17" fillId="10" borderId="2" xfId="0" applyFont="1" applyFill="1" applyBorder="1"/>
    <xf numFmtId="0" fontId="34" fillId="10" borderId="2" xfId="0" applyFont="1" applyFill="1" applyBorder="1"/>
    <xf numFmtId="0" fontId="17" fillId="0" borderId="37" xfId="0" applyFont="1" applyFill="1" applyBorder="1" applyAlignment="1">
      <alignment vertical="center" wrapText="1"/>
    </xf>
    <xf numFmtId="0" fontId="15" fillId="12" borderId="38" xfId="11" applyNumberFormat="1" applyFont="1" applyFill="1" applyBorder="1" applyAlignment="1">
      <alignment horizontal="center" vertical="center"/>
    </xf>
    <xf numFmtId="0" fontId="35" fillId="12" borderId="38" xfId="11" applyNumberFormat="1" applyFont="1" applyFill="1" applyBorder="1" applyAlignment="1">
      <alignment horizontal="center" vertical="center" wrapText="1"/>
    </xf>
    <xf numFmtId="0" fontId="15" fillId="12" borderId="38" xfId="11" applyNumberFormat="1" applyFont="1" applyFill="1" applyBorder="1" applyAlignment="1">
      <alignment horizontal="center" vertical="center" wrapText="1"/>
    </xf>
    <xf numFmtId="0" fontId="35" fillId="12" borderId="44" xfId="11" applyNumberFormat="1" applyFont="1" applyFill="1" applyBorder="1" applyAlignment="1">
      <alignment horizontal="center" vertical="center" wrapText="1"/>
    </xf>
    <xf numFmtId="0" fontId="35" fillId="12" borderId="39" xfId="11" applyNumberFormat="1" applyFont="1" applyFill="1" applyBorder="1" applyAlignment="1">
      <alignment horizontal="center" vertical="center" wrapText="1"/>
    </xf>
    <xf numFmtId="0" fontId="35" fillId="20" borderId="39" xfId="11" applyNumberFormat="1" applyFont="1" applyFill="1" applyBorder="1" applyAlignment="1">
      <alignment horizontal="center" vertical="center" wrapText="1"/>
    </xf>
    <xf numFmtId="0" fontId="35" fillId="12" borderId="45" xfId="11" applyNumberFormat="1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left"/>
    </xf>
    <xf numFmtId="164" fontId="19" fillId="0" borderId="42" xfId="1" applyNumberFormat="1" applyFont="1" applyFill="1" applyBorder="1" applyAlignment="1">
      <alignment horizontal="left"/>
    </xf>
    <xf numFmtId="164" fontId="17" fillId="0" borderId="40" xfId="1" applyNumberFormat="1" applyFont="1" applyFill="1" applyBorder="1" applyAlignment="1">
      <alignment vertical="center"/>
    </xf>
    <xf numFmtId="164" fontId="17" fillId="0" borderId="18" xfId="1" applyNumberFormat="1" applyFont="1" applyFill="1" applyBorder="1" applyAlignment="1">
      <alignment vertical="center"/>
    </xf>
    <xf numFmtId="164" fontId="17" fillId="0" borderId="43" xfId="1" applyNumberFormat="1" applyFont="1" applyFill="1" applyBorder="1" applyAlignment="1">
      <alignment vertical="center"/>
    </xf>
    <xf numFmtId="0" fontId="21" fillId="19" borderId="6" xfId="0" applyFont="1" applyFill="1" applyBorder="1" applyAlignment="1">
      <alignment horizontal="left"/>
    </xf>
    <xf numFmtId="164" fontId="19" fillId="19" borderId="7" xfId="1" applyNumberFormat="1" applyFont="1" applyFill="1" applyBorder="1" applyAlignment="1">
      <alignment horizontal="left"/>
    </xf>
    <xf numFmtId="0" fontId="21" fillId="0" borderId="6" xfId="0" applyFont="1" applyFill="1" applyBorder="1" applyAlignment="1">
      <alignment horizontal="left"/>
    </xf>
    <xf numFmtId="164" fontId="19" fillId="0" borderId="7" xfId="1" applyNumberFormat="1" applyFont="1" applyFill="1" applyBorder="1" applyAlignment="1">
      <alignment horizontal="left"/>
    </xf>
    <xf numFmtId="164" fontId="17" fillId="0" borderId="27" xfId="1" applyNumberFormat="1" applyFont="1" applyFill="1" applyBorder="1" applyAlignment="1">
      <alignment vertical="center"/>
    </xf>
    <xf numFmtId="164" fontId="17" fillId="0" borderId="2" xfId="1" applyNumberFormat="1" applyFont="1" applyFill="1" applyBorder="1" applyAlignment="1">
      <alignment vertical="center"/>
    </xf>
    <xf numFmtId="164" fontId="17" fillId="0" borderId="16" xfId="1" applyNumberFormat="1" applyFont="1" applyFill="1" applyBorder="1" applyAlignment="1">
      <alignment vertical="center"/>
    </xf>
    <xf numFmtId="0" fontId="36" fillId="22" borderId="2" xfId="14" applyFont="1" applyFill="1" applyBorder="1"/>
    <xf numFmtId="0" fontId="13" fillId="0" borderId="0" xfId="6" applyAlignment="1">
      <alignment horizontal="left" wrapText="1"/>
    </xf>
    <xf numFmtId="165" fontId="37" fillId="0" borderId="0" xfId="7" applyNumberFormat="1" applyFont="1" applyAlignment="1">
      <alignment horizontal="center" vertical="center"/>
    </xf>
    <xf numFmtId="0" fontId="13" fillId="0" borderId="0" xfId="6" applyAlignment="1">
      <alignment horizontal="center" vertical="center"/>
    </xf>
    <xf numFmtId="44" fontId="0" fillId="0" borderId="0" xfId="8" applyFont="1"/>
    <xf numFmtId="164" fontId="13" fillId="0" borderId="0" xfId="6" applyNumberFormat="1"/>
    <xf numFmtId="0" fontId="13" fillId="0" borderId="0" xfId="6"/>
    <xf numFmtId="164" fontId="0" fillId="0" borderId="0" xfId="8" applyNumberFormat="1" applyFont="1" applyAlignment="1"/>
    <xf numFmtId="165" fontId="0" fillId="0" borderId="0" xfId="7" applyNumberFormat="1" applyFont="1"/>
    <xf numFmtId="164" fontId="37" fillId="0" borderId="0" xfId="6" applyNumberFormat="1" applyFont="1" applyAlignment="1">
      <alignment horizontal="center" vertical="center"/>
    </xf>
    <xf numFmtId="164" fontId="38" fillId="0" borderId="0" xfId="6" applyNumberFormat="1" applyFont="1" applyAlignment="1">
      <alignment horizontal="center" vertical="center"/>
    </xf>
    <xf numFmtId="0" fontId="39" fillId="0" borderId="11" xfId="6" applyFont="1" applyBorder="1" applyAlignment="1">
      <alignment horizontal="center" vertical="center" wrapText="1"/>
    </xf>
    <xf numFmtId="165" fontId="0" fillId="0" borderId="46" xfId="7" applyNumberFormat="1" applyFont="1" applyBorder="1" applyAlignment="1">
      <alignment horizontal="center" vertical="center"/>
    </xf>
    <xf numFmtId="0" fontId="13" fillId="0" borderId="46" xfId="6" applyBorder="1" applyAlignment="1">
      <alignment horizontal="center" vertical="center"/>
    </xf>
    <xf numFmtId="44" fontId="0" fillId="0" borderId="46" xfId="8" applyFont="1" applyBorder="1" applyAlignment="1">
      <alignment horizontal="center" vertical="center"/>
    </xf>
    <xf numFmtId="0" fontId="40" fillId="23" borderId="38" xfId="6" applyFont="1" applyFill="1" applyBorder="1" applyAlignment="1">
      <alignment horizontal="center" vertical="center" wrapText="1"/>
    </xf>
    <xf numFmtId="0" fontId="41" fillId="24" borderId="38" xfId="6" applyFont="1" applyFill="1" applyBorder="1" applyAlignment="1">
      <alignment horizontal="center" vertical="center" textRotation="90" wrapText="1"/>
    </xf>
    <xf numFmtId="0" fontId="42" fillId="25" borderId="38" xfId="6" applyFont="1" applyFill="1" applyBorder="1" applyAlignment="1">
      <alignment horizontal="center" vertical="center" wrapText="1"/>
    </xf>
    <xf numFmtId="0" fontId="41" fillId="26" borderId="38" xfId="6" applyFont="1" applyFill="1" applyBorder="1" applyAlignment="1">
      <alignment horizontal="center" vertical="center" textRotation="90" wrapText="1"/>
    </xf>
    <xf numFmtId="0" fontId="42" fillId="26" borderId="38" xfId="6" applyFont="1" applyFill="1" applyBorder="1" applyAlignment="1">
      <alignment horizontal="center" vertical="center" wrapText="1"/>
    </xf>
    <xf numFmtId="0" fontId="43" fillId="27" borderId="38" xfId="6" applyFont="1" applyFill="1" applyBorder="1" applyAlignment="1">
      <alignment horizontal="center" vertical="center" wrapText="1"/>
    </xf>
    <xf numFmtId="0" fontId="41" fillId="28" borderId="47" xfId="6" applyFont="1" applyFill="1" applyBorder="1" applyAlignment="1">
      <alignment horizontal="center" vertical="center" textRotation="90" wrapText="1"/>
    </xf>
    <xf numFmtId="0" fontId="41" fillId="28" borderId="48" xfId="6" applyFont="1" applyFill="1" applyBorder="1" applyAlignment="1">
      <alignment horizontal="center" vertical="center" textRotation="90" wrapText="1"/>
    </xf>
    <xf numFmtId="0" fontId="41" fillId="28" borderId="49" xfId="6" applyFont="1" applyFill="1" applyBorder="1" applyAlignment="1">
      <alignment horizontal="center" vertical="center" textRotation="90" wrapText="1"/>
    </xf>
    <xf numFmtId="0" fontId="42" fillId="29" borderId="50" xfId="6" applyFont="1" applyFill="1" applyBorder="1" applyAlignment="1">
      <alignment horizontal="center" vertical="center" wrapText="1"/>
    </xf>
    <xf numFmtId="0" fontId="40" fillId="7" borderId="46" xfId="6" applyFont="1" applyFill="1" applyBorder="1" applyAlignment="1">
      <alignment horizontal="center" vertical="center" wrapText="1"/>
    </xf>
    <xf numFmtId="0" fontId="41" fillId="0" borderId="51" xfId="6" applyFont="1" applyBorder="1" applyAlignment="1">
      <alignment horizontal="center" vertical="center" wrapText="1"/>
    </xf>
    <xf numFmtId="0" fontId="41" fillId="0" borderId="52" xfId="6" applyFont="1" applyBorder="1" applyAlignment="1">
      <alignment horizontal="center" vertical="center" wrapText="1"/>
    </xf>
    <xf numFmtId="0" fontId="43" fillId="30" borderId="38" xfId="6" applyFont="1" applyFill="1" applyBorder="1" applyAlignment="1">
      <alignment horizontal="center" vertical="center" wrapText="1"/>
    </xf>
    <xf numFmtId="164" fontId="13" fillId="0" borderId="0" xfId="6" applyNumberFormat="1" applyAlignment="1">
      <alignment horizontal="center" vertical="center"/>
    </xf>
    <xf numFmtId="0" fontId="44" fillId="0" borderId="0" xfId="6" applyFont="1" applyAlignment="1">
      <alignment horizontal="left" vertical="center" wrapText="1"/>
    </xf>
    <xf numFmtId="165" fontId="44" fillId="0" borderId="0" xfId="7" applyNumberFormat="1" applyFont="1" applyAlignment="1">
      <alignment horizontal="center" vertical="center" wrapText="1"/>
    </xf>
    <xf numFmtId="0" fontId="44" fillId="0" borderId="0" xfId="6" applyFont="1" applyAlignment="1">
      <alignment horizontal="center" vertical="center" wrapText="1"/>
    </xf>
    <xf numFmtId="44" fontId="44" fillId="0" borderId="0" xfId="8" applyFont="1" applyAlignment="1">
      <alignment horizontal="center" vertical="center" wrapText="1"/>
    </xf>
    <xf numFmtId="164" fontId="44" fillId="0" borderId="0" xfId="6" applyNumberFormat="1" applyFont="1" applyAlignment="1">
      <alignment horizontal="center" vertical="center" wrapText="1"/>
    </xf>
    <xf numFmtId="10" fontId="45" fillId="31" borderId="37" xfId="6" applyNumberFormat="1" applyFont="1" applyFill="1" applyBorder="1" applyAlignment="1">
      <alignment horizontal="center" vertical="center"/>
    </xf>
    <xf numFmtId="10" fontId="45" fillId="31" borderId="53" xfId="6" applyNumberFormat="1" applyFont="1" applyFill="1" applyBorder="1" applyAlignment="1">
      <alignment horizontal="center" vertical="center"/>
    </xf>
    <xf numFmtId="10" fontId="45" fillId="31" borderId="54" xfId="6" applyNumberFormat="1" applyFont="1" applyFill="1" applyBorder="1" applyAlignment="1">
      <alignment horizontal="center" vertical="center"/>
    </xf>
    <xf numFmtId="10" fontId="45" fillId="31" borderId="0" xfId="6" applyNumberFormat="1" applyFont="1" applyFill="1" applyAlignment="1">
      <alignment horizontal="center" vertical="center"/>
    </xf>
    <xf numFmtId="10" fontId="45" fillId="32" borderId="37" xfId="6" applyNumberFormat="1" applyFont="1" applyFill="1" applyBorder="1" applyAlignment="1">
      <alignment horizontal="center" vertical="center"/>
    </xf>
    <xf numFmtId="10" fontId="45" fillId="32" borderId="54" xfId="6" applyNumberFormat="1" applyFont="1" applyFill="1" applyBorder="1" applyAlignment="1">
      <alignment horizontal="center" vertical="center"/>
    </xf>
    <xf numFmtId="10" fontId="45" fillId="33" borderId="53" xfId="6" applyNumberFormat="1" applyFont="1" applyFill="1" applyBorder="1" applyAlignment="1">
      <alignment horizontal="center" vertical="center"/>
    </xf>
    <xf numFmtId="10" fontId="45" fillId="34" borderId="53" xfId="6" applyNumberFormat="1" applyFont="1" applyFill="1" applyBorder="1" applyAlignment="1">
      <alignment horizontal="center" vertical="center"/>
    </xf>
    <xf numFmtId="10" fontId="46" fillId="33" borderId="53" xfId="6" applyNumberFormat="1" applyFont="1" applyFill="1" applyBorder="1" applyAlignment="1">
      <alignment horizontal="center" vertical="center"/>
    </xf>
    <xf numFmtId="10" fontId="47" fillId="33" borderId="37" xfId="6" applyNumberFormat="1" applyFont="1" applyFill="1" applyBorder="1" applyAlignment="1">
      <alignment horizontal="center" vertical="center"/>
    </xf>
    <xf numFmtId="10" fontId="47" fillId="33" borderId="53" xfId="6" applyNumberFormat="1" applyFont="1" applyFill="1" applyBorder="1" applyAlignment="1">
      <alignment horizontal="center" vertical="center"/>
    </xf>
    <xf numFmtId="10" fontId="46" fillId="33" borderId="54" xfId="6" applyNumberFormat="1" applyFont="1" applyFill="1" applyBorder="1" applyAlignment="1">
      <alignment horizontal="center" vertical="center"/>
    </xf>
    <xf numFmtId="0" fontId="37" fillId="34" borderId="55" xfId="6" applyFont="1" applyFill="1" applyBorder="1" applyAlignment="1">
      <alignment horizontal="left" vertical="center" wrapText="1"/>
    </xf>
    <xf numFmtId="165" fontId="37" fillId="34" borderId="56" xfId="7" applyNumberFormat="1" applyFont="1" applyFill="1" applyBorder="1" applyAlignment="1">
      <alignment vertical="center"/>
    </xf>
    <xf numFmtId="0" fontId="37" fillId="34" borderId="56" xfId="6" applyFont="1" applyFill="1" applyBorder="1" applyAlignment="1">
      <alignment horizontal="center" vertical="center"/>
    </xf>
    <xf numFmtId="44" fontId="37" fillId="34" borderId="56" xfId="8" applyFont="1" applyFill="1" applyBorder="1" applyAlignment="1">
      <alignment vertical="center"/>
    </xf>
    <xf numFmtId="164" fontId="37" fillId="34" borderId="56" xfId="6" applyNumberFormat="1" applyFont="1" applyFill="1" applyBorder="1" applyAlignment="1">
      <alignment vertical="center"/>
    </xf>
    <xf numFmtId="164" fontId="13" fillId="34" borderId="56" xfId="6" applyNumberFormat="1" applyFill="1" applyBorder="1" applyAlignment="1">
      <alignment vertical="center"/>
    </xf>
    <xf numFmtId="164" fontId="13" fillId="0" borderId="57" xfId="6" applyNumberFormat="1" applyBorder="1" applyAlignment="1">
      <alignment vertical="center"/>
    </xf>
    <xf numFmtId="164" fontId="13" fillId="0" borderId="0" xfId="6" applyNumberFormat="1" applyAlignment="1">
      <alignment vertical="center"/>
    </xf>
    <xf numFmtId="0" fontId="13" fillId="0" borderId="0" xfId="6" applyAlignment="1">
      <alignment vertical="center"/>
    </xf>
    <xf numFmtId="0" fontId="13" fillId="0" borderId="58" xfId="6" applyBorder="1" applyAlignment="1">
      <alignment horizontal="left" wrapText="1"/>
    </xf>
    <xf numFmtId="165" fontId="0" fillId="0" borderId="0" xfId="7" applyNumberFormat="1" applyFont="1" applyBorder="1"/>
    <xf numFmtId="44" fontId="0" fillId="0" borderId="0" xfId="8" applyFont="1" applyBorder="1"/>
    <xf numFmtId="164" fontId="13" fillId="0" borderId="54" xfId="6" applyNumberFormat="1" applyBorder="1"/>
    <xf numFmtId="0" fontId="37" fillId="8" borderId="58" xfId="6" applyFont="1" applyFill="1" applyBorder="1" applyAlignment="1">
      <alignment horizontal="left" wrapText="1"/>
    </xf>
    <xf numFmtId="165" fontId="37" fillId="8" borderId="0" xfId="7" applyNumberFormat="1" applyFont="1" applyFill="1" applyBorder="1" applyAlignment="1">
      <alignment horizontal="center" vertical="center"/>
    </xf>
    <xf numFmtId="0" fontId="37" fillId="8" borderId="0" xfId="6" applyFont="1" applyFill="1" applyAlignment="1">
      <alignment horizontal="center" vertical="center"/>
    </xf>
    <xf numFmtId="44" fontId="0" fillId="8" borderId="0" xfId="8" applyFont="1" applyFill="1" applyBorder="1"/>
    <xf numFmtId="164" fontId="13" fillId="8" borderId="0" xfId="6" applyNumberFormat="1" applyFill="1"/>
    <xf numFmtId="165" fontId="0" fillId="0" borderId="0" xfId="7" applyNumberFormat="1" applyFont="1" applyBorder="1" applyAlignment="1">
      <alignment horizontal="center" vertical="center"/>
    </xf>
    <xf numFmtId="44" fontId="0" fillId="0" borderId="0" xfId="8" applyFont="1" applyBorder="1" applyAlignment="1">
      <alignment horizontal="center" vertical="center"/>
    </xf>
    <xf numFmtId="164" fontId="0" fillId="0" borderId="0" xfId="8" applyNumberFormat="1" applyFont="1" applyBorder="1" applyAlignment="1">
      <alignment horizontal="center" vertical="center"/>
    </xf>
    <xf numFmtId="44" fontId="0" fillId="8" borderId="0" xfId="8" applyFont="1" applyFill="1" applyBorder="1" applyAlignment="1">
      <alignment horizontal="center" vertical="center"/>
    </xf>
    <xf numFmtId="164" fontId="13" fillId="8" borderId="0" xfId="6" applyNumberFormat="1" applyFill="1" applyAlignment="1">
      <alignment horizontal="center" vertical="center"/>
    </xf>
    <xf numFmtId="0" fontId="37" fillId="0" borderId="58" xfId="6" applyFont="1" applyBorder="1" applyAlignment="1">
      <alignment horizontal="left" wrapText="1"/>
    </xf>
    <xf numFmtId="0" fontId="13" fillId="0" borderId="58" xfId="6" applyBorder="1" applyAlignment="1">
      <alignment horizontal="left" wrapText="1" indent="4"/>
    </xf>
    <xf numFmtId="164" fontId="48" fillId="0" borderId="0" xfId="6" applyNumberFormat="1" applyFont="1"/>
    <xf numFmtId="0" fontId="37" fillId="0" borderId="59" xfId="6" applyFont="1" applyBorder="1" applyAlignment="1">
      <alignment horizontal="left" wrapText="1"/>
    </xf>
    <xf numFmtId="165" fontId="0" fillId="0" borderId="33" xfId="7" applyNumberFormat="1" applyFont="1" applyBorder="1" applyAlignment="1">
      <alignment horizontal="center" vertical="center"/>
    </xf>
    <xf numFmtId="0" fontId="13" fillId="0" borderId="33" xfId="6" applyBorder="1" applyAlignment="1">
      <alignment horizontal="center" vertical="center"/>
    </xf>
    <xf numFmtId="44" fontId="0" fillId="0" borderId="33" xfId="8" applyFont="1" applyBorder="1" applyAlignment="1">
      <alignment horizontal="center" vertical="center"/>
    </xf>
    <xf numFmtId="164" fontId="49" fillId="35" borderId="33" xfId="6" applyNumberFormat="1" applyFont="1" applyFill="1" applyBorder="1" applyAlignment="1">
      <alignment horizontal="center" vertical="center"/>
    </xf>
    <xf numFmtId="164" fontId="49" fillId="0" borderId="33" xfId="6" applyNumberFormat="1" applyFont="1" applyBorder="1"/>
    <xf numFmtId="164" fontId="50" fillId="25" borderId="33" xfId="8" applyNumberFormat="1" applyFont="1" applyFill="1" applyBorder="1" applyAlignment="1">
      <alignment horizontal="center" vertical="center" wrapText="1"/>
    </xf>
    <xf numFmtId="164" fontId="50" fillId="26" borderId="33" xfId="8" applyNumberFormat="1" applyFont="1" applyFill="1" applyBorder="1" applyAlignment="1">
      <alignment horizontal="center" vertical="center" wrapText="1"/>
    </xf>
    <xf numFmtId="164" fontId="51" fillId="27" borderId="33" xfId="8" applyNumberFormat="1" applyFont="1" applyFill="1" applyBorder="1" applyAlignment="1">
      <alignment horizontal="center" vertical="center" wrapText="1"/>
    </xf>
    <xf numFmtId="164" fontId="52" fillId="0" borderId="33" xfId="6" applyNumberFormat="1" applyFont="1" applyBorder="1"/>
    <xf numFmtId="164" fontId="50" fillId="29" borderId="33" xfId="8" applyNumberFormat="1" applyFont="1" applyFill="1" applyBorder="1" applyAlignment="1">
      <alignment horizontal="center" vertical="center" wrapText="1"/>
    </xf>
    <xf numFmtId="164" fontId="49" fillId="7" borderId="33" xfId="6" applyNumberFormat="1" applyFont="1" applyFill="1" applyBorder="1"/>
    <xf numFmtId="2" fontId="53" fillId="0" borderId="33" xfId="6" applyNumberFormat="1" applyFont="1" applyBorder="1" applyAlignment="1">
      <alignment horizontal="center"/>
    </xf>
    <xf numFmtId="10" fontId="53" fillId="0" borderId="33" xfId="6" applyNumberFormat="1" applyFont="1" applyBorder="1"/>
    <xf numFmtId="164" fontId="54" fillId="36" borderId="60" xfId="6" applyNumberFormat="1" applyFont="1" applyFill="1" applyBorder="1"/>
    <xf numFmtId="0" fontId="37" fillId="0" borderId="0" xfId="6" applyFont="1" applyAlignment="1">
      <alignment horizontal="left" wrapText="1"/>
    </xf>
    <xf numFmtId="0" fontId="37" fillId="6" borderId="55" xfId="6" applyFont="1" applyFill="1" applyBorder="1" applyAlignment="1">
      <alignment horizontal="left" vertical="center" wrapText="1"/>
    </xf>
    <xf numFmtId="165" fontId="37" fillId="6" borderId="56" xfId="7" applyNumberFormat="1" applyFont="1" applyFill="1" applyBorder="1" applyAlignment="1">
      <alignment horizontal="center" vertical="center"/>
    </xf>
    <xf numFmtId="0" fontId="37" fillId="6" borderId="56" xfId="6" applyFont="1" applyFill="1" applyBorder="1" applyAlignment="1">
      <alignment horizontal="center" vertical="center"/>
    </xf>
    <xf numFmtId="44" fontId="37" fillId="6" borderId="56" xfId="8" applyFont="1" applyFill="1" applyBorder="1" applyAlignment="1">
      <alignment horizontal="center" vertical="center"/>
    </xf>
    <xf numFmtId="164" fontId="37" fillId="6" borderId="56" xfId="6" applyNumberFormat="1" applyFont="1" applyFill="1" applyBorder="1" applyAlignment="1">
      <alignment horizontal="center" vertical="center"/>
    </xf>
    <xf numFmtId="164" fontId="37" fillId="6" borderId="56" xfId="6" applyNumberFormat="1" applyFont="1" applyFill="1" applyBorder="1" applyAlignment="1">
      <alignment vertical="center"/>
    </xf>
    <xf numFmtId="164" fontId="13" fillId="6" borderId="56" xfId="6" applyNumberFormat="1" applyFill="1" applyBorder="1" applyAlignment="1">
      <alignment vertical="center"/>
    </xf>
    <xf numFmtId="164" fontId="13" fillId="0" borderId="57" xfId="6" applyNumberFormat="1" applyBorder="1"/>
    <xf numFmtId="43" fontId="0" fillId="0" borderId="0" xfId="7" applyFont="1" applyBorder="1"/>
    <xf numFmtId="0" fontId="13" fillId="0" borderId="58" xfId="6" applyBorder="1" applyAlignment="1">
      <alignment horizontal="left"/>
    </xf>
    <xf numFmtId="164" fontId="55" fillId="0" borderId="0" xfId="6" applyNumberFormat="1" applyFont="1" applyAlignment="1">
      <alignment horizontal="center" vertical="center"/>
    </xf>
    <xf numFmtId="0" fontId="13" fillId="0" borderId="58" xfId="6" applyBorder="1" applyAlignment="1">
      <alignment horizontal="left" vertical="center"/>
    </xf>
    <xf numFmtId="0" fontId="37" fillId="23" borderId="55" xfId="6" applyFont="1" applyFill="1" applyBorder="1" applyAlignment="1">
      <alignment horizontal="left" vertical="center" wrapText="1"/>
    </xf>
    <xf numFmtId="165" fontId="37" fillId="23" borderId="56" xfId="7" applyNumberFormat="1" applyFont="1" applyFill="1" applyBorder="1" applyAlignment="1">
      <alignment horizontal="center" vertical="center"/>
    </xf>
    <xf numFmtId="0" fontId="37" fillId="23" borderId="56" xfId="6" applyFont="1" applyFill="1" applyBorder="1" applyAlignment="1">
      <alignment horizontal="center" vertical="center"/>
    </xf>
    <xf numFmtId="44" fontId="37" fillId="23" borderId="56" xfId="8" applyFont="1" applyFill="1" applyBorder="1" applyAlignment="1">
      <alignment horizontal="center" vertical="center"/>
    </xf>
    <xf numFmtId="164" fontId="37" fillId="23" borderId="56" xfId="6" applyNumberFormat="1" applyFont="1" applyFill="1" applyBorder="1" applyAlignment="1">
      <alignment horizontal="center" vertical="center"/>
    </xf>
    <xf numFmtId="164" fontId="37" fillId="23" borderId="56" xfId="6" applyNumberFormat="1" applyFont="1" applyFill="1" applyBorder="1" applyAlignment="1">
      <alignment vertical="center"/>
    </xf>
    <xf numFmtId="164" fontId="13" fillId="23" borderId="56" xfId="6" applyNumberFormat="1" applyFill="1" applyBorder="1" applyAlignment="1">
      <alignment vertical="center"/>
    </xf>
    <xf numFmtId="165" fontId="0" fillId="7" borderId="0" xfId="7" applyNumberFormat="1" applyFont="1" applyFill="1" applyBorder="1" applyAlignment="1">
      <alignment horizontal="center" vertical="center"/>
    </xf>
    <xf numFmtId="0" fontId="22" fillId="0" borderId="61" xfId="0" applyFont="1" applyBorder="1" applyAlignment="1">
      <alignment horizontal="center"/>
    </xf>
    <xf numFmtId="0" fontId="0" fillId="0" borderId="0" xfId="0" applyAlignment="1"/>
    <xf numFmtId="0" fontId="22" fillId="0" borderId="62" xfId="0" applyFont="1" applyBorder="1" applyAlignment="1">
      <alignment horizontal="center"/>
    </xf>
    <xf numFmtId="0" fontId="0" fillId="0" borderId="27" xfId="0" applyBorder="1"/>
    <xf numFmtId="0" fontId="11" fillId="0" borderId="40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0" fillId="0" borderId="0" xfId="0" applyBorder="1"/>
    <xf numFmtId="0" fontId="15" fillId="9" borderId="11" xfId="0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vertical="center" wrapText="1"/>
    </xf>
    <xf numFmtId="0" fontId="0" fillId="0" borderId="26" xfId="0" applyBorder="1"/>
    <xf numFmtId="44" fontId="11" fillId="0" borderId="64" xfId="1" applyFont="1" applyBorder="1" applyAlignment="1">
      <alignment horizontal="center" vertical="center"/>
    </xf>
    <xf numFmtId="164" fontId="0" fillId="0" borderId="0" xfId="1" applyNumberFormat="1" applyFont="1" applyBorder="1"/>
    <xf numFmtId="44" fontId="0" fillId="0" borderId="30" xfId="1" applyFont="1" applyBorder="1" applyAlignment="1">
      <alignment wrapText="1"/>
    </xf>
    <xf numFmtId="164" fontId="17" fillId="0" borderId="0" xfId="0" applyNumberFormat="1" applyFont="1" applyFill="1"/>
    <xf numFmtId="44" fontId="0" fillId="0" borderId="2" xfId="1" applyFont="1" applyBorder="1"/>
    <xf numFmtId="0" fontId="2" fillId="0" borderId="7" xfId="0" applyFont="1" applyBorder="1" applyAlignment="1">
      <alignment wrapText="1"/>
    </xf>
    <xf numFmtId="0" fontId="24" fillId="0" borderId="2" xfId="0" applyFont="1" applyFill="1" applyBorder="1"/>
    <xf numFmtId="0" fontId="24" fillId="0" borderId="2" xfId="0" applyFont="1" applyFill="1" applyBorder="1" applyAlignment="1">
      <alignment horizontal="center"/>
    </xf>
    <xf numFmtId="0" fontId="59" fillId="0" borderId="2" xfId="0" applyFont="1" applyFill="1" applyBorder="1" applyAlignment="1">
      <alignment horizontal="center"/>
    </xf>
    <xf numFmtId="0" fontId="2" fillId="0" borderId="2" xfId="0" applyFont="1" applyBorder="1"/>
    <xf numFmtId="0" fontId="3" fillId="0" borderId="41" xfId="0" applyFont="1" applyBorder="1"/>
    <xf numFmtId="0" fontId="3" fillId="0" borderId="18" xfId="0" applyFont="1" applyBorder="1"/>
    <xf numFmtId="0" fontId="3" fillId="0" borderId="42" xfId="0" applyFont="1" applyBorder="1"/>
    <xf numFmtId="0" fontId="2" fillId="0" borderId="28" xfId="0" applyFont="1" applyBorder="1"/>
    <xf numFmtId="0" fontId="23" fillId="0" borderId="0" xfId="0" applyFont="1" applyAlignment="1">
      <alignment vertical="center"/>
    </xf>
    <xf numFmtId="164" fontId="17" fillId="7" borderId="2" xfId="1" applyNumberFormat="1" applyFont="1" applyFill="1" applyBorder="1" applyAlignment="1">
      <alignment vertical="center"/>
    </xf>
    <xf numFmtId="164" fontId="60" fillId="0" borderId="0" xfId="0" applyNumberFormat="1" applyFont="1" applyBorder="1"/>
    <xf numFmtId="0" fontId="11" fillId="0" borderId="2" xfId="0" applyFont="1" applyBorder="1"/>
    <xf numFmtId="44" fontId="11" fillId="0" borderId="2" xfId="0" applyNumberFormat="1" applyFont="1" applyBorder="1"/>
    <xf numFmtId="0" fontId="11" fillId="0" borderId="2" xfId="0" applyFont="1" applyBorder="1" applyAlignment="1">
      <alignment horizontal="center"/>
    </xf>
    <xf numFmtId="44" fontId="11" fillId="0" borderId="63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5" fillId="16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8" fillId="18" borderId="2" xfId="0" applyFont="1" applyFill="1" applyBorder="1" applyAlignment="1">
      <alignment horizontal="center" vertical="center" wrapText="1"/>
    </xf>
    <xf numFmtId="0" fontId="17" fillId="16" borderId="2" xfId="0" applyFont="1" applyFill="1" applyBorder="1" applyAlignment="1">
      <alignment horizontal="center" vertical="center" wrapText="1"/>
    </xf>
    <xf numFmtId="0" fontId="16" fillId="16" borderId="2" xfId="0" applyFont="1" applyFill="1" applyBorder="1" applyAlignment="1">
      <alignment horizontal="center" vertical="center" wrapText="1"/>
    </xf>
    <xf numFmtId="0" fontId="16" fillId="9" borderId="3" xfId="0" applyFont="1" applyFill="1" applyBorder="1" applyAlignment="1">
      <alignment horizontal="center" vertical="center" wrapText="1"/>
    </xf>
    <xf numFmtId="0" fontId="17" fillId="9" borderId="6" xfId="0" applyFont="1" applyFill="1" applyBorder="1" applyAlignment="1">
      <alignment horizontal="center" vertical="center" wrapText="1"/>
    </xf>
    <xf numFmtId="0" fontId="14" fillId="16" borderId="33" xfId="0" applyFont="1" applyFill="1" applyBorder="1" applyAlignment="1">
      <alignment horizontal="center" vertical="center"/>
    </xf>
    <xf numFmtId="0" fontId="11" fillId="16" borderId="33" xfId="0" applyFont="1" applyFill="1" applyBorder="1" applyAlignment="1">
      <alignment horizontal="center" vertical="center"/>
    </xf>
    <xf numFmtId="0" fontId="11" fillId="16" borderId="34" xfId="0" applyFont="1" applyFill="1" applyBorder="1" applyAlignment="1">
      <alignment horizontal="center" vertical="center"/>
    </xf>
    <xf numFmtId="1" fontId="18" fillId="16" borderId="35" xfId="1" applyNumberFormat="1" applyFont="1" applyFill="1" applyBorder="1" applyAlignment="1">
      <alignment horizontal="center" vertical="center" wrapText="1"/>
    </xf>
    <xf numFmtId="0" fontId="14" fillId="17" borderId="35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15" fillId="12" borderId="31" xfId="0" applyFont="1" applyFill="1" applyBorder="1" applyAlignment="1">
      <alignment horizontal="center"/>
    </xf>
    <xf numFmtId="0" fontId="15" fillId="12" borderId="39" xfId="0" applyFont="1" applyFill="1" applyBorder="1" applyAlignment="1">
      <alignment horizontal="center"/>
    </xf>
    <xf numFmtId="0" fontId="15" fillId="12" borderId="45" xfId="0" applyFont="1" applyFill="1" applyBorder="1" applyAlignment="1">
      <alignment horizontal="center"/>
    </xf>
    <xf numFmtId="0" fontId="15" fillId="20" borderId="31" xfId="11" applyNumberFormat="1" applyFont="1" applyFill="1" applyBorder="1" applyAlignment="1">
      <alignment horizontal="center" vertical="center" wrapText="1"/>
    </xf>
    <xf numFmtId="0" fontId="15" fillId="20" borderId="39" xfId="11" applyNumberFormat="1" applyFont="1" applyFill="1" applyBorder="1" applyAlignment="1">
      <alignment horizontal="center" vertical="center" wrapText="1"/>
    </xf>
    <xf numFmtId="0" fontId="15" fillId="20" borderId="32" xfId="11" applyNumberFormat="1" applyFont="1" applyFill="1" applyBorder="1" applyAlignment="1">
      <alignment horizontal="center" vertical="center" wrapText="1"/>
    </xf>
    <xf numFmtId="0" fontId="35" fillId="12" borderId="44" xfId="11" applyNumberFormat="1" applyFont="1" applyFill="1" applyBorder="1" applyAlignment="1">
      <alignment horizontal="center" vertical="center" wrapText="1"/>
    </xf>
    <xf numFmtId="0" fontId="35" fillId="12" borderId="39" xfId="11" applyNumberFormat="1" applyFont="1" applyFill="1" applyBorder="1" applyAlignment="1">
      <alignment horizontal="center" vertical="center" wrapText="1"/>
    </xf>
    <xf numFmtId="0" fontId="35" fillId="12" borderId="32" xfId="11" applyNumberFormat="1" applyFont="1" applyFill="1" applyBorder="1" applyAlignment="1">
      <alignment horizontal="center" vertical="center" wrapText="1"/>
    </xf>
    <xf numFmtId="0" fontId="35" fillId="20" borderId="31" xfId="11" applyNumberFormat="1" applyFont="1" applyFill="1" applyBorder="1" applyAlignment="1">
      <alignment horizontal="center" vertical="center" wrapText="1"/>
    </xf>
    <xf numFmtId="0" fontId="35" fillId="20" borderId="39" xfId="11" applyNumberFormat="1" applyFont="1" applyFill="1" applyBorder="1" applyAlignment="1">
      <alignment horizontal="center" vertical="center" wrapText="1"/>
    </xf>
    <xf numFmtId="0" fontId="35" fillId="20" borderId="32" xfId="11" applyNumberFormat="1" applyFont="1" applyFill="1" applyBorder="1" applyAlignment="1">
      <alignment horizontal="center" vertical="center" wrapText="1"/>
    </xf>
    <xf numFmtId="0" fontId="15" fillId="8" borderId="28" xfId="0" applyFont="1" applyFill="1" applyBorder="1" applyAlignment="1">
      <alignment horizontal="center" wrapText="1"/>
    </xf>
    <xf numFmtId="0" fontId="15" fillId="8" borderId="30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2" fillId="13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2" fillId="11" borderId="14" xfId="0" applyFont="1" applyFill="1" applyBorder="1" applyAlignment="1">
      <alignment horizontal="center" vertical="center" wrapText="1"/>
    </xf>
    <xf numFmtId="0" fontId="9" fillId="10" borderId="14" xfId="0" applyFont="1" applyFill="1" applyBorder="1" applyAlignment="1">
      <alignment horizontal="center" vertical="center" wrapText="1"/>
    </xf>
    <xf numFmtId="0" fontId="8" fillId="10" borderId="13" xfId="0" applyFont="1" applyFill="1" applyBorder="1" applyAlignment="1">
      <alignment horizontal="center" vertical="center"/>
    </xf>
    <xf numFmtId="0" fontId="8" fillId="10" borderId="19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0" fontId="26" fillId="8" borderId="3" xfId="0" applyFont="1" applyFill="1" applyBorder="1" applyAlignment="1">
      <alignment horizontal="center" vertical="center"/>
    </xf>
    <xf numFmtId="0" fontId="27" fillId="8" borderId="4" xfId="0" applyFont="1" applyFill="1" applyBorder="1" applyAlignment="1">
      <alignment horizontal="center" vertical="center"/>
    </xf>
    <xf numFmtId="0" fontId="27" fillId="8" borderId="5" xfId="0" applyFont="1" applyFill="1" applyBorder="1" applyAlignment="1">
      <alignment horizontal="center" vertical="center"/>
    </xf>
  </cellXfs>
  <cellStyles count="18">
    <cellStyle name="Comma" xfId="5" builtinId="3"/>
    <cellStyle name="Comma 2" xfId="4" xr:uid="{BF714CFB-127A-4AC1-BA91-60BCDBE1899C}"/>
    <cellStyle name="Comma 3" xfId="7" xr:uid="{5AD7584E-1723-4A26-923E-0AFA43E0BEAF}"/>
    <cellStyle name="Comma 4" xfId="10" xr:uid="{AF8385B8-E4A5-45D0-95DA-D186E5AFA6B6}"/>
    <cellStyle name="Comma 5" xfId="12" xr:uid="{B679BF82-AFB7-43B9-BB09-F1F22BAB1CC8}"/>
    <cellStyle name="Comma 6" xfId="17" xr:uid="{A33E7D49-440A-4685-AB23-2C0C21B0ED0B}"/>
    <cellStyle name="Currency" xfId="1" builtinId="4"/>
    <cellStyle name="Currency 2" xfId="8" xr:uid="{0DC50011-765D-44BE-9FE1-F57D93319D52}"/>
    <cellStyle name="Good" xfId="14" builtinId="26"/>
    <cellStyle name="Normal" xfId="0" builtinId="0"/>
    <cellStyle name="Normal 2" xfId="3" xr:uid="{C299F651-6CAF-472F-AF93-FBE41E76D436}"/>
    <cellStyle name="Normal 3" xfId="6" xr:uid="{6F0F12DC-05E3-43BF-8329-EF3526B3463B}"/>
    <cellStyle name="Normal 4" xfId="9" xr:uid="{3026C04D-BC4D-42BF-8F25-F29D5C66E2D7}"/>
    <cellStyle name="Normal 5" xfId="11" xr:uid="{E07256FD-69DE-4FD6-B89B-7E023501A62D}"/>
    <cellStyle name="Normal 6" xfId="15" xr:uid="{3E4CA798-B840-4B24-A16A-DB8E6DBD9407}"/>
    <cellStyle name="Note 2" xfId="13" xr:uid="{A4FAF56F-5910-47D8-93BD-7E05050B302B}"/>
    <cellStyle name="Note 3" xfId="16" xr:uid="{A0A9516A-AFA0-4148-BDE1-81E6AFE02B7F}"/>
    <cellStyle name="Percent" xfId="2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entury Gothic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rgb="FF000000"/>
        </right>
        <top/>
        <bottom style="thin">
          <color rgb="FF000000"/>
        </bottom>
        <vertical/>
        <horizontal/>
      </border>
    </dxf>
    <dxf>
      <border outline="0">
        <right style="medium">
          <color indexed="64"/>
        </right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color theme="4"/>
      </font>
      <fill>
        <patternFill>
          <bgColor theme="4" tint="0.79998168889431442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border diagonalUp="0" diagonalDown="0" outline="0">
        <left/>
        <right/>
        <top/>
        <bottom/>
      </border>
    </dxf>
    <dxf>
      <numFmt numFmtId="164" formatCode="_(&quot;$&quot;* #,##0_);_(&quot;$&quot;* \(#,##0\);_(&quot;$&quot;* &quot;-&quot;??_);_(@_)"/>
    </dxf>
    <dxf>
      <border diagonalUp="0" diagonalDown="0" outline="0">
        <left/>
        <right/>
        <top/>
        <bottom/>
      </border>
    </dxf>
    <dxf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auto="1"/>
        </left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theme="4"/>
      </font>
      <fill>
        <patternFill>
          <bgColor theme="4" tint="0.79998168889431442"/>
        </patternFill>
      </fill>
    </dxf>
    <dxf>
      <font>
        <color theme="4"/>
      </font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99FF99"/>
      <color rgb="FF00A1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60476</xdr:rowOff>
    </xdr:from>
    <xdr:to>
      <xdr:col>3</xdr:col>
      <xdr:colOff>0</xdr:colOff>
      <xdr:row>3</xdr:row>
      <xdr:rowOff>329417</xdr:rowOff>
    </xdr:to>
    <xdr:sp macro="[1]!Sheet24.allowGroup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2176879F-6B3D-4D65-A9DB-E2357C16F143}"/>
            </a:ext>
          </a:extLst>
        </xdr:cNvPr>
        <xdr:cNvSpPr/>
      </xdr:nvSpPr>
      <xdr:spPr>
        <a:xfrm>
          <a:off x="263071" y="746276"/>
          <a:ext cx="973311" cy="268941"/>
        </a:xfrm>
        <a:prstGeom prst="roundRect">
          <a:avLst/>
        </a:prstGeom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Enable Views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138979/Downloads/HPM%20ESA-FCA%20Cost%20Model%20&amp;%20Selection%20Tool%20-%20v060922h%20(Special%20ESA%20Sort%20with%20Secure%20Vestibules%20ONLY!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A Program Detail"/>
      <sheetName val="ESA Projects"/>
      <sheetName val="ESA Selection Dashboard"/>
      <sheetName val="FCA Program Detail"/>
      <sheetName val="FCA Projects"/>
      <sheetName val="FCA Selection Dashboard"/>
      <sheetName val="BOH-Soft Cost Matrix"/>
      <sheetName val="BOH-Calc Tables"/>
      <sheetName val="RS"/>
      <sheetName val="ESA Data"/>
      <sheetName val="FCA Data"/>
      <sheetName val="1"/>
      <sheetName val="HPM ESA-FCA Cost Model &amp; Select"/>
    </sheetNames>
    <definedNames>
      <definedName name="Sheet24.allowGroup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02C3018-4BC1-4662-8B2C-61E033E91CE4}" name="Table6" displayName="Table6" ref="A4:C123" totalsRowCount="1" headerRowDxfId="12" headerRowBorderDxfId="11" tableBorderDxfId="10">
  <autoFilter ref="A4:C122" xr:uid="{A52757FD-93FD-4CB5-A1A3-0C83C4D7FA38}"/>
  <sortState xmlns:xlrd2="http://schemas.microsoft.com/office/spreadsheetml/2017/richdata2" ref="A5:C119">
    <sortCondition ref="A4:A119"/>
  </sortState>
  <tableColumns count="3">
    <tableColumn id="1" xr3:uid="{22FBE794-B68E-4114-8788-A0AC03A3C51B}" name="Bond Line Item" dataDxfId="9" totalsRowDxfId="8">
      <calculatedColumnFormula>'Step2 - LRP Facility Strat'!A5</calculatedColumnFormula>
    </tableColumn>
    <tableColumn id="2" xr3:uid="{28270215-7E5F-403B-BD2C-258DDEE0B85D}" name="Description" totalsRowDxfId="7"/>
    <tableColumn id="3" xr3:uid="{E8EA4BB3-D5AE-4440-99B8-E0B5D5925145}" name="Budget Amount" totalsRowFunction="custom" dataDxfId="6" totalsRowDxfId="5" dataCellStyle="Currency">
      <calculatedColumnFormula>'Step2 - LRP Facility Strat'!AK5</calculatedColumnFormula>
      <totalsRowFormula>SUM(Table6[Budget Amount])</totalsRow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F342293-249D-4924-8ED0-7CD836C480B5}" name="Table2" displayName="Table2" ref="B3:B126" totalsRowShown="0" headerRowBorderDxfId="2" tableBorderDxfId="1">
  <autoFilter ref="B3:B126" xr:uid="{A3D807A1-9AC8-4242-92EF-C0469F6ACA8C}"/>
  <sortState xmlns:xlrd2="http://schemas.microsoft.com/office/spreadsheetml/2017/richdata2" ref="B4:B126">
    <sortCondition ref="B3:B126"/>
  </sortState>
  <tableColumns count="1">
    <tableColumn id="1" xr3:uid="{DEA3027F-EB6A-4BBA-BA7D-D1C8206AFF04}" name="Column1" dataDxfId="0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77AECAE-FF5B-4C7A-AB27-689D7240EDCB}" name="Table7" displayName="Table7" ref="D3:E89" totalsRowCount="1">
  <autoFilter ref="D3:E88" xr:uid="{6FC513C2-F23D-4F75-9D44-2DF1B8570FAF}"/>
  <sortState xmlns:xlrd2="http://schemas.microsoft.com/office/spreadsheetml/2017/richdata2" ref="D4:E88">
    <sortCondition ref="D3:D88"/>
  </sortState>
  <tableColumns count="2">
    <tableColumn id="1" xr3:uid="{2A82C839-DF0C-447D-A656-DC2CBA0E6991}" name="Column1"/>
    <tableColumn id="2" xr3:uid="{C28D153A-774D-4B84-AB70-8830FC17B8B9}" name="Column2" totalsRowFunction="custom">
      <totalsRowFormula>SUM(Table7[Column2])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181E7-9450-493E-A241-FE0F789ABBDE}">
  <sheetPr>
    <tabColor rgb="FF00B050"/>
  </sheetPr>
  <dimension ref="A1:D129"/>
  <sheetViews>
    <sheetView topLeftCell="A16" workbookViewId="0">
      <selection activeCell="E32" sqref="E32"/>
    </sheetView>
  </sheetViews>
  <sheetFormatPr defaultRowHeight="15" x14ac:dyDescent="0.25"/>
  <cols>
    <col min="1" max="1" width="33.7109375" customWidth="1"/>
    <col min="2" max="2" width="29.85546875" customWidth="1"/>
    <col min="3" max="3" width="22.5703125" customWidth="1"/>
    <col min="4" max="4" width="18" bestFit="1" customWidth="1"/>
    <col min="5" max="5" width="22.28515625" bestFit="1" customWidth="1"/>
  </cols>
  <sheetData>
    <row r="1" spans="1:4" x14ac:dyDescent="0.25">
      <c r="A1" s="308"/>
      <c r="B1" s="309"/>
      <c r="C1" s="310"/>
    </row>
    <row r="2" spans="1:4" x14ac:dyDescent="0.25">
      <c r="A2" s="281" t="s">
        <v>253</v>
      </c>
      <c r="B2" s="306" t="s">
        <v>369</v>
      </c>
      <c r="C2" s="304" t="s">
        <v>374</v>
      </c>
      <c r="D2" s="282" t="s">
        <v>161</v>
      </c>
    </row>
    <row r="3" spans="1:4" ht="13.5" customHeight="1" x14ac:dyDescent="0.25">
      <c r="A3" s="307">
        <f>'Step1 - Def and Mod Analysis'!U2</f>
        <v>348339392.01088428</v>
      </c>
      <c r="B3" s="305">
        <f>SUM('Step1 - Def and Mod Analysis'!S9:S123)</f>
        <v>1181872368</v>
      </c>
      <c r="C3" s="305">
        <f>'Step2 - LRP Facility Strat'!AJ2</f>
        <v>0</v>
      </c>
      <c r="D3" s="287">
        <f>SUM(Table6[Budget Amount])</f>
        <v>1530211760.0108843</v>
      </c>
    </row>
    <row r="4" spans="1:4" x14ac:dyDescent="0.25">
      <c r="A4" s="278" t="s">
        <v>172</v>
      </c>
      <c r="B4" s="279" t="s">
        <v>170</v>
      </c>
      <c r="C4" s="280" t="s">
        <v>173</v>
      </c>
    </row>
    <row r="5" spans="1:4" x14ac:dyDescent="0.25">
      <c r="A5" s="277" t="str">
        <f>'Step2 - LRP Facility Strat'!A5</f>
        <v>Akins HS</v>
      </c>
      <c r="B5" s="283" t="s">
        <v>364</v>
      </c>
      <c r="C5" s="288">
        <f>'Step2 - LRP Facility Strat'!AK5</f>
        <v>3146858.3637917466</v>
      </c>
    </row>
    <row r="6" spans="1:4" x14ac:dyDescent="0.25">
      <c r="A6" s="277" t="str">
        <f>'Step2 - LRP Facility Strat'!A7</f>
        <v>Allison ES</v>
      </c>
      <c r="B6" s="283" t="s">
        <v>364</v>
      </c>
      <c r="C6" s="288">
        <f>'Step2 - LRP Facility Strat'!AK7</f>
        <v>60020000</v>
      </c>
    </row>
    <row r="7" spans="1:4" x14ac:dyDescent="0.25">
      <c r="A7" s="277" t="str">
        <f>'Step2 - LRP Facility Strat'!A9</f>
        <v>Anderson HS</v>
      </c>
      <c r="B7" s="283" t="s">
        <v>364</v>
      </c>
      <c r="C7" s="288">
        <f>'Step2 - LRP Facility Strat'!AK9</f>
        <v>1917375.6348733318</v>
      </c>
    </row>
    <row r="8" spans="1:4" x14ac:dyDescent="0.25">
      <c r="A8" s="277" t="str">
        <f>'Step2 - LRP Facility Strat'!A11</f>
        <v>Andrews ES</v>
      </c>
      <c r="B8" s="283" t="s">
        <v>364</v>
      </c>
      <c r="C8" s="288">
        <f>'Step2 - LRP Facility Strat'!AK11</f>
        <v>30000000</v>
      </c>
    </row>
    <row r="9" spans="1:4" x14ac:dyDescent="0.25">
      <c r="A9" s="277" t="str">
        <f>'Step2 - LRP Facility Strat'!A13</f>
        <v>Anita Coy (ALC)</v>
      </c>
      <c r="B9" s="283" t="s">
        <v>364</v>
      </c>
      <c r="C9" s="288">
        <f>'Step2 - LRP Facility Strat'!AK13</f>
        <v>1643164.8</v>
      </c>
    </row>
    <row r="10" spans="1:4" x14ac:dyDescent="0.25">
      <c r="A10" s="277" t="str">
        <f>'Step2 - LRP Facility Strat'!A15</f>
        <v>Austin HS</v>
      </c>
      <c r="B10" s="283" t="s">
        <v>364</v>
      </c>
      <c r="C10" s="288">
        <f>'Step2 - LRP Facility Strat'!AK15</f>
        <v>9377054.4867602978</v>
      </c>
    </row>
    <row r="11" spans="1:4" x14ac:dyDescent="0.25">
      <c r="A11" s="277" t="str">
        <f>'Step2 - LRP Facility Strat'!A17</f>
        <v>Bailey MS</v>
      </c>
      <c r="B11" s="283" t="s">
        <v>364</v>
      </c>
      <c r="C11" s="288">
        <f>'Step2 - LRP Facility Strat'!AK17</f>
        <v>7883551.6588616604</v>
      </c>
    </row>
    <row r="12" spans="1:4" x14ac:dyDescent="0.25">
      <c r="A12" s="277" t="str">
        <f>'Step2 - LRP Facility Strat'!A19</f>
        <v>Baldwin ES</v>
      </c>
      <c r="B12" s="283" t="s">
        <v>364</v>
      </c>
      <c r="C12" s="288">
        <f>'Step2 - LRP Facility Strat'!AK19</f>
        <v>2457697.8611005386</v>
      </c>
    </row>
    <row r="13" spans="1:4" x14ac:dyDescent="0.25">
      <c r="A13" s="277" t="str">
        <f>'Step2 - LRP Facility Strat'!A21</f>
        <v>Baranoff ES</v>
      </c>
      <c r="B13" s="283" t="s">
        <v>364</v>
      </c>
      <c r="C13" s="288">
        <f>'Step2 - LRP Facility Strat'!AK21</f>
        <v>5141841.6294460827</v>
      </c>
    </row>
    <row r="14" spans="1:4" x14ac:dyDescent="0.25">
      <c r="A14" s="277" t="str">
        <f>'Step2 - LRP Facility Strat'!A23</f>
        <v>Barrington ES</v>
      </c>
      <c r="B14" s="283" t="s">
        <v>364</v>
      </c>
      <c r="C14" s="288">
        <f>'Step2 - LRP Facility Strat'!AK23</f>
        <v>60020000</v>
      </c>
    </row>
    <row r="15" spans="1:4" x14ac:dyDescent="0.25">
      <c r="A15" s="277" t="str">
        <f>'Step2 - LRP Facility Strat'!A25</f>
        <v>Barton Hills ES</v>
      </c>
      <c r="B15" s="283" t="s">
        <v>364</v>
      </c>
      <c r="C15" s="288">
        <f>'Step2 - LRP Facility Strat'!AK25</f>
        <v>429171.01228675427</v>
      </c>
    </row>
    <row r="16" spans="1:4" x14ac:dyDescent="0.25">
      <c r="A16" s="277" t="str">
        <f>'Step2 - LRP Facility Strat'!A27</f>
        <v>Bear Creek ES</v>
      </c>
      <c r="B16" s="283" t="s">
        <v>364</v>
      </c>
      <c r="C16" s="288">
        <f>'Step2 - LRP Facility Strat'!AK27</f>
        <v>0</v>
      </c>
    </row>
    <row r="17" spans="1:3" x14ac:dyDescent="0.25">
      <c r="A17" s="277" t="str">
        <f>'Step2 - LRP Facility Strat'!A29</f>
        <v>Becker ES</v>
      </c>
      <c r="B17" s="283" t="s">
        <v>364</v>
      </c>
      <c r="C17" s="288">
        <f>'Step2 - LRP Facility Strat'!AK29</f>
        <v>427212.64001539251</v>
      </c>
    </row>
    <row r="18" spans="1:3" x14ac:dyDescent="0.25">
      <c r="A18" s="277" t="str">
        <f>'Step2 - LRP Facility Strat'!A31</f>
        <v>Bedichek MS</v>
      </c>
      <c r="B18" s="283" t="s">
        <v>364</v>
      </c>
      <c r="C18" s="288">
        <f>'Step2 - LRP Facility Strat'!AK31</f>
        <v>4211774.4578655204</v>
      </c>
    </row>
    <row r="19" spans="1:3" x14ac:dyDescent="0.25">
      <c r="A19" s="277" t="str">
        <f>'Step2 - LRP Facility Strat'!A33</f>
        <v>Blackshear ES</v>
      </c>
      <c r="B19" s="283" t="s">
        <v>364</v>
      </c>
      <c r="C19" s="288">
        <f>'Step2 - LRP Facility Strat'!AK33</f>
        <v>3991487.3483002102</v>
      </c>
    </row>
    <row r="20" spans="1:3" x14ac:dyDescent="0.25">
      <c r="A20" s="277" t="str">
        <f>'Step2 - LRP Facility Strat'!A35</f>
        <v>Blanton ES</v>
      </c>
      <c r="B20" s="283" t="s">
        <v>364</v>
      </c>
      <c r="C20" s="288">
        <f>'Step2 - LRP Facility Strat'!AK35</f>
        <v>5008815.0522538833</v>
      </c>
    </row>
    <row r="21" spans="1:3" x14ac:dyDescent="0.25">
      <c r="A21" s="277" t="str">
        <f>'Step2 - LRP Facility Strat'!A37</f>
        <v>Blazier ES 4-6</v>
      </c>
      <c r="B21" s="283" t="s">
        <v>364</v>
      </c>
      <c r="C21" s="288">
        <f>'Step2 - LRP Facility Strat'!AK37</f>
        <v>0</v>
      </c>
    </row>
    <row r="22" spans="1:3" x14ac:dyDescent="0.25">
      <c r="A22" s="277" t="str">
        <f>'Step2 - LRP Facility Strat'!A39</f>
        <v>Blazier ES K-3</v>
      </c>
      <c r="B22" s="283" t="s">
        <v>364</v>
      </c>
      <c r="C22" s="288">
        <f>'Step2 - LRP Facility Strat'!AK39</f>
        <v>139117.25599928986</v>
      </c>
    </row>
    <row r="23" spans="1:3" x14ac:dyDescent="0.25">
      <c r="A23" s="277" t="str">
        <f>'Step2 - LRP Facility Strat'!A41</f>
        <v>Boone ES</v>
      </c>
      <c r="B23" s="283" t="s">
        <v>364</v>
      </c>
      <c r="C23" s="288">
        <f>'Step2 - LRP Facility Strat'!AK41</f>
        <v>2769087.816614348</v>
      </c>
    </row>
    <row r="24" spans="1:3" x14ac:dyDescent="0.25">
      <c r="A24" s="277" t="str">
        <f>'Step2 - LRP Facility Strat'!A43</f>
        <v>Bowie HS</v>
      </c>
      <c r="B24" s="283" t="s">
        <v>364</v>
      </c>
      <c r="C24" s="288">
        <f>'Step2 - LRP Facility Strat'!AK43</f>
        <v>22778856.404140379</v>
      </c>
    </row>
    <row r="25" spans="1:3" x14ac:dyDescent="0.25">
      <c r="A25" s="277" t="str">
        <f>'Step2 - LRP Facility Strat'!A45</f>
        <v>Brentwood ES</v>
      </c>
      <c r="B25" s="283" t="s">
        <v>364</v>
      </c>
      <c r="C25" s="288">
        <f>'Step2 - LRP Facility Strat'!AK45</f>
        <v>0</v>
      </c>
    </row>
    <row r="26" spans="1:3" x14ac:dyDescent="0.25">
      <c r="A26" s="277" t="str">
        <f>'Step2 - LRP Facility Strat'!A47</f>
        <v>Brown ES</v>
      </c>
      <c r="B26" s="283" t="s">
        <v>364</v>
      </c>
      <c r="C26" s="288">
        <f>'Step2 - LRP Facility Strat'!AK47</f>
        <v>0</v>
      </c>
    </row>
    <row r="27" spans="1:3" x14ac:dyDescent="0.25">
      <c r="A27" s="277" t="str">
        <f>'Step2 - LRP Facility Strat'!A49</f>
        <v>Bryker Woods ES</v>
      </c>
      <c r="B27" s="283" t="s">
        <v>364</v>
      </c>
      <c r="C27" s="288">
        <f>'Step2 - LRP Facility Strat'!AK49</f>
        <v>584288.81906381494</v>
      </c>
    </row>
    <row r="28" spans="1:3" x14ac:dyDescent="0.25">
      <c r="A28" s="277" t="str">
        <f>'Step2 - LRP Facility Strat'!A51</f>
        <v>Burnet MS</v>
      </c>
      <c r="B28" s="283" t="s">
        <v>364</v>
      </c>
      <c r="C28" s="288">
        <f>'Step2 - LRP Facility Strat'!AK51</f>
        <v>160712000</v>
      </c>
    </row>
    <row r="29" spans="1:3" x14ac:dyDescent="0.25">
      <c r="A29" s="277" t="str">
        <f>'Step2 - LRP Facility Strat'!A53</f>
        <v>Campbell ES</v>
      </c>
      <c r="B29" s="283" t="s">
        <v>364</v>
      </c>
      <c r="C29" s="288">
        <f>'Step2 - LRP Facility Strat'!AK53</f>
        <v>874615.05725298729</v>
      </c>
    </row>
    <row r="30" spans="1:3" x14ac:dyDescent="0.25">
      <c r="A30" s="277" t="str">
        <f>'Step2 - LRP Facility Strat'!A55</f>
        <v>Casey ES</v>
      </c>
      <c r="B30" s="283" t="s">
        <v>364</v>
      </c>
      <c r="C30" s="288">
        <f>'Step2 - LRP Facility Strat'!AK55</f>
        <v>6191791.8909950778</v>
      </c>
    </row>
    <row r="31" spans="1:3" x14ac:dyDescent="0.25">
      <c r="A31" s="277" t="str">
        <f>'Step2 - LRP Facility Strat'!A57</f>
        <v>Casis ES</v>
      </c>
      <c r="B31" s="283" t="s">
        <v>364</v>
      </c>
      <c r="C31" s="288">
        <f>'Step2 - LRP Facility Strat'!AK57</f>
        <v>0</v>
      </c>
    </row>
    <row r="32" spans="1:3" x14ac:dyDescent="0.25">
      <c r="A32" s="277" t="str">
        <f>'Step2 - LRP Facility Strat'!A59</f>
        <v>Clayton ES</v>
      </c>
      <c r="B32" s="283" t="s">
        <v>364</v>
      </c>
      <c r="C32" s="288">
        <f>'Step2 - LRP Facility Strat'!AK59</f>
        <v>1901074.7496303672</v>
      </c>
    </row>
    <row r="33" spans="1:3" x14ac:dyDescent="0.25">
      <c r="A33" s="277" t="str">
        <f>'Step2 - LRP Facility Strat'!A61</f>
        <v>Clifton Center</v>
      </c>
      <c r="B33" s="283" t="s">
        <v>364</v>
      </c>
      <c r="C33" s="288">
        <f>'Step2 - LRP Facility Strat'!AK61</f>
        <v>418689.7205151713</v>
      </c>
    </row>
    <row r="34" spans="1:3" x14ac:dyDescent="0.25">
      <c r="A34" s="277" t="str">
        <f>'Step2 - LRP Facility Strat'!A63</f>
        <v>Cook ES</v>
      </c>
      <c r="B34" s="283" t="s">
        <v>364</v>
      </c>
      <c r="C34" s="288">
        <f>'Step2 - LRP Facility Strat'!AK63</f>
        <v>6093362.4720308706</v>
      </c>
    </row>
    <row r="35" spans="1:3" x14ac:dyDescent="0.25">
      <c r="A35" s="277" t="str">
        <f>'Step2 - LRP Facility Strat'!A65</f>
        <v>Covington MS</v>
      </c>
      <c r="B35" s="283" t="s">
        <v>364</v>
      </c>
      <c r="C35" s="288">
        <f>'Step2 - LRP Facility Strat'!AK65</f>
        <v>4530991.4150388129</v>
      </c>
    </row>
    <row r="36" spans="1:3" x14ac:dyDescent="0.25">
      <c r="A36" s="277" t="str">
        <f>'Step2 - LRP Facility Strat'!A67</f>
        <v>Cowan ES</v>
      </c>
      <c r="B36" s="283" t="s">
        <v>364</v>
      </c>
      <c r="C36" s="288">
        <f>'Step2 - LRP Facility Strat'!AK67</f>
        <v>725218.7158322332</v>
      </c>
    </row>
    <row r="37" spans="1:3" x14ac:dyDescent="0.25">
      <c r="A37" s="277" t="str">
        <f>'Step2 - LRP Facility Strat'!A69</f>
        <v>Crockett ECHS</v>
      </c>
      <c r="B37" s="283" t="s">
        <v>364</v>
      </c>
      <c r="C37" s="288">
        <f>'Step2 - LRP Facility Strat'!AK69</f>
        <v>6405631.5106386561</v>
      </c>
    </row>
    <row r="38" spans="1:3" x14ac:dyDescent="0.25">
      <c r="A38" s="277" t="str">
        <f>'Step2 - LRP Facility Strat'!A71</f>
        <v>Cunningham ES</v>
      </c>
      <c r="B38" s="283" t="s">
        <v>364</v>
      </c>
      <c r="C38" s="288">
        <f>'Step2 - LRP Facility Strat'!AK71</f>
        <v>1749557.0676928568</v>
      </c>
    </row>
    <row r="39" spans="1:3" x14ac:dyDescent="0.25">
      <c r="A39" s="277" t="str">
        <f>'Step2 - LRP Facility Strat'!A73</f>
        <v>Davis ES</v>
      </c>
      <c r="B39" s="283" t="s">
        <v>364</v>
      </c>
      <c r="C39" s="288">
        <f>'Step2 - LRP Facility Strat'!AK73</f>
        <v>4443079.5716582164</v>
      </c>
    </row>
    <row r="40" spans="1:3" x14ac:dyDescent="0.25">
      <c r="A40" s="277" t="str">
        <f>'Step2 - LRP Facility Strat'!A75</f>
        <v>Dawson ES</v>
      </c>
      <c r="B40" s="283" t="s">
        <v>364</v>
      </c>
      <c r="C40" s="288">
        <f>'Step2 - LRP Facility Strat'!AK75</f>
        <v>761366.26314451022</v>
      </c>
    </row>
    <row r="41" spans="1:3" x14ac:dyDescent="0.25">
      <c r="A41" s="277" t="str">
        <f>'Step2 - LRP Facility Strat'!A77</f>
        <v>Dobie MS</v>
      </c>
      <c r="B41" s="283" t="s">
        <v>364</v>
      </c>
      <c r="C41" s="288">
        <f>'Step2 - LRP Facility Strat'!AK77</f>
        <v>35687000</v>
      </c>
    </row>
    <row r="42" spans="1:3" x14ac:dyDescent="0.25">
      <c r="A42" s="277" t="str">
        <f>'Step2 - LRP Facility Strat'!A79</f>
        <v>Doss ES</v>
      </c>
      <c r="B42" s="283" t="s">
        <v>364</v>
      </c>
      <c r="C42" s="288">
        <f>'Step2 - LRP Facility Strat'!AK79</f>
        <v>0</v>
      </c>
    </row>
    <row r="43" spans="1:3" x14ac:dyDescent="0.25">
      <c r="A43" s="277" t="str">
        <f>'Step2 - LRP Facility Strat'!A81</f>
        <v>Eastside ECHS</v>
      </c>
      <c r="B43" s="283" t="s">
        <v>364</v>
      </c>
      <c r="C43" s="288">
        <f>'Step2 - LRP Facility Strat'!AK81</f>
        <v>0</v>
      </c>
    </row>
    <row r="44" spans="1:3" x14ac:dyDescent="0.25">
      <c r="A44" s="277" t="str">
        <f>'Step2 - LRP Facility Strat'!A83</f>
        <v>Galindo ES</v>
      </c>
      <c r="B44" s="283" t="s">
        <v>364</v>
      </c>
      <c r="C44" s="288">
        <f>'Step2 - LRP Facility Strat'!AK83</f>
        <v>5836085.0229321141</v>
      </c>
    </row>
    <row r="45" spans="1:3" x14ac:dyDescent="0.25">
      <c r="A45" s="277" t="str">
        <f>'Step2 - LRP Facility Strat'!A85</f>
        <v>Garcia YMLA</v>
      </c>
      <c r="B45" s="283" t="s">
        <v>364</v>
      </c>
      <c r="C45" s="288">
        <f>'Step2 - LRP Facility Strat'!AK85</f>
        <v>10200036.425393362</v>
      </c>
    </row>
    <row r="46" spans="1:3" x14ac:dyDescent="0.25">
      <c r="A46" s="277" t="str">
        <f>'Step2 - LRP Facility Strat'!A87</f>
        <v>Garza Independence HS</v>
      </c>
      <c r="B46" s="283" t="s">
        <v>364</v>
      </c>
      <c r="C46" s="288">
        <f>'Step2 - LRP Facility Strat'!AK87</f>
        <v>1355295.1245173174</v>
      </c>
    </row>
    <row r="47" spans="1:3" x14ac:dyDescent="0.25">
      <c r="A47" s="277" t="str">
        <f>'Step2 - LRP Facility Strat'!A89</f>
        <v>Gorzycki MS</v>
      </c>
      <c r="B47" s="283" t="s">
        <v>364</v>
      </c>
      <c r="C47" s="288">
        <f>'Step2 - LRP Facility Strat'!AK89</f>
        <v>2512165.7476342609</v>
      </c>
    </row>
    <row r="48" spans="1:3" x14ac:dyDescent="0.25">
      <c r="A48" s="277" t="str">
        <f>'Step2 - LRP Facility Strat'!A91</f>
        <v>Govalle ES</v>
      </c>
      <c r="B48" s="283" t="s">
        <v>364</v>
      </c>
      <c r="C48" s="288">
        <f>'Step2 - LRP Facility Strat'!AK91</f>
        <v>0</v>
      </c>
    </row>
    <row r="49" spans="1:3" x14ac:dyDescent="0.25">
      <c r="A49" s="277" t="str">
        <f>'Step2 - LRP Facility Strat'!A93</f>
        <v>Graham ES</v>
      </c>
      <c r="B49" s="283" t="s">
        <v>364</v>
      </c>
      <c r="C49" s="288">
        <f>'Step2 - LRP Facility Strat'!AK93</f>
        <v>6133583.4259930253</v>
      </c>
    </row>
    <row r="50" spans="1:3" x14ac:dyDescent="0.25">
      <c r="A50" s="277" t="str">
        <f>'Step2 - LRP Facility Strat'!A95</f>
        <v>Guerrero Thompson ES</v>
      </c>
      <c r="B50" s="283" t="s">
        <v>364</v>
      </c>
      <c r="C50" s="288">
        <f>'Step2 - LRP Facility Strat'!AK95</f>
        <v>2085830.4</v>
      </c>
    </row>
    <row r="51" spans="1:3" x14ac:dyDescent="0.25">
      <c r="A51" s="277" t="str">
        <f>'Step2 - LRP Facility Strat'!A97</f>
        <v>Gullett ES</v>
      </c>
      <c r="B51" s="283" t="s">
        <v>364</v>
      </c>
      <c r="C51" s="288">
        <f>'Step2 - LRP Facility Strat'!AK97</f>
        <v>726149.710060896</v>
      </c>
    </row>
    <row r="52" spans="1:3" x14ac:dyDescent="0.25">
      <c r="A52" s="277" t="str">
        <f>'Step2 - LRP Facility Strat'!A99</f>
        <v>Harris ES</v>
      </c>
      <c r="B52" s="283" t="s">
        <v>364</v>
      </c>
      <c r="C52" s="288">
        <f>'Step2 - LRP Facility Strat'!AK99</f>
        <v>38790000</v>
      </c>
    </row>
    <row r="53" spans="1:3" x14ac:dyDescent="0.25">
      <c r="A53" s="277" t="str">
        <f>'Step2 - LRP Facility Strat'!A101</f>
        <v>Hart ES</v>
      </c>
      <c r="B53" s="283" t="s">
        <v>364</v>
      </c>
      <c r="C53" s="288">
        <f>'Step2 - LRP Facility Strat'!AK101</f>
        <v>2918709.1961736353</v>
      </c>
    </row>
    <row r="54" spans="1:3" x14ac:dyDescent="0.25">
      <c r="A54" s="277" t="str">
        <f>'Step2 - LRP Facility Strat'!A103</f>
        <v>Highland Park ES</v>
      </c>
      <c r="B54" s="283" t="s">
        <v>364</v>
      </c>
      <c r="C54" s="288">
        <f>'Step2 - LRP Facility Strat'!AK103</f>
        <v>1731399.7018180704</v>
      </c>
    </row>
    <row r="55" spans="1:3" x14ac:dyDescent="0.25">
      <c r="A55" s="277" t="str">
        <f>'Step2 - LRP Facility Strat'!A105</f>
        <v>Hill ES</v>
      </c>
      <c r="B55" s="283" t="s">
        <v>364</v>
      </c>
      <c r="C55" s="288">
        <f>'Step2 - LRP Facility Strat'!AK105</f>
        <v>641485.36938502255</v>
      </c>
    </row>
    <row r="56" spans="1:3" x14ac:dyDescent="0.25">
      <c r="A56" s="277" t="str">
        <f>'Step2 - LRP Facility Strat'!A107</f>
        <v>Houston ES</v>
      </c>
      <c r="B56" s="283" t="s">
        <v>364</v>
      </c>
      <c r="C56" s="288">
        <f>'Step2 - LRP Facility Strat'!AK107</f>
        <v>60020000</v>
      </c>
    </row>
    <row r="57" spans="1:3" x14ac:dyDescent="0.25">
      <c r="A57" s="277" t="str">
        <f>'Step2 - LRP Facility Strat'!A109</f>
        <v>Jordan ES</v>
      </c>
      <c r="B57" s="283" t="s">
        <v>364</v>
      </c>
      <c r="C57" s="288">
        <f>'Step2 - LRP Facility Strat'!AK109</f>
        <v>2567876.1854061079</v>
      </c>
    </row>
    <row r="58" spans="1:3" x14ac:dyDescent="0.25">
      <c r="A58" s="277" t="str">
        <f>'Step2 - LRP Facility Strat'!A111</f>
        <v>Joslin ES</v>
      </c>
      <c r="B58" s="283" t="s">
        <v>364</v>
      </c>
      <c r="C58" s="288">
        <f>'Step2 - LRP Facility Strat'!AK111</f>
        <v>1303970.7955069409</v>
      </c>
    </row>
    <row r="59" spans="1:3" x14ac:dyDescent="0.25">
      <c r="A59" s="277" t="str">
        <f>'Step2 - LRP Facility Strat'!A113</f>
        <v>Kealing MS</v>
      </c>
      <c r="B59" s="283" t="s">
        <v>364</v>
      </c>
      <c r="C59" s="288">
        <f>'Step2 - LRP Facility Strat'!AK113</f>
        <v>3239992.9562931559</v>
      </c>
    </row>
    <row r="60" spans="1:3" x14ac:dyDescent="0.25">
      <c r="A60" s="277" t="str">
        <f>'Step2 - LRP Facility Strat'!A115</f>
        <v>Kiker ES</v>
      </c>
      <c r="B60" s="283" t="s">
        <v>364</v>
      </c>
      <c r="C60" s="288">
        <f>'Step2 - LRP Facility Strat'!AK115</f>
        <v>1710040.3533624844</v>
      </c>
    </row>
    <row r="61" spans="1:3" x14ac:dyDescent="0.25">
      <c r="A61" s="277" t="str">
        <f>'Step2 - LRP Facility Strat'!A117</f>
        <v>Kocurek ES</v>
      </c>
      <c r="B61" s="283" t="s">
        <v>364</v>
      </c>
      <c r="C61" s="288">
        <f>'Step2 - LRP Facility Strat'!AK117</f>
        <v>1208530.8562422346</v>
      </c>
    </row>
    <row r="62" spans="1:3" x14ac:dyDescent="0.25">
      <c r="A62" s="277" t="str">
        <f>'Step2 - LRP Facility Strat'!A119</f>
        <v>Lamar MS</v>
      </c>
      <c r="B62" s="283" t="s">
        <v>364</v>
      </c>
      <c r="C62" s="288">
        <f>'Step2 - LRP Facility Strat'!AK119</f>
        <v>621427.64891699143</v>
      </c>
    </row>
    <row r="63" spans="1:3" x14ac:dyDescent="0.25">
      <c r="A63" s="277" t="str">
        <f>'Step2 - LRP Facility Strat'!A121</f>
        <v>Langford ES</v>
      </c>
      <c r="B63" s="283" t="s">
        <v>364</v>
      </c>
      <c r="C63" s="288">
        <f>'Step2 - LRP Facility Strat'!AK121</f>
        <v>31000000</v>
      </c>
    </row>
    <row r="64" spans="1:3" x14ac:dyDescent="0.25">
      <c r="A64" s="277" t="str">
        <f>'Step2 - LRP Facility Strat'!A123</f>
        <v>LASA HS</v>
      </c>
      <c r="B64" s="283" t="s">
        <v>364</v>
      </c>
      <c r="C64" s="288">
        <f>'Step2 - LRP Facility Strat'!AK123</f>
        <v>27170995.378925424</v>
      </c>
    </row>
    <row r="65" spans="1:3" x14ac:dyDescent="0.25">
      <c r="A65" s="277" t="str">
        <f>'Step2 - LRP Facility Strat'!A125</f>
        <v>LBJ ECHS</v>
      </c>
      <c r="B65" s="283" t="s">
        <v>364</v>
      </c>
      <c r="C65" s="288">
        <f>'Step2 - LRP Facility Strat'!AK125</f>
        <v>0</v>
      </c>
    </row>
    <row r="66" spans="1:3" x14ac:dyDescent="0.25">
      <c r="A66" s="277" t="str">
        <f>'Step2 - LRP Facility Strat'!A127</f>
        <v>Lee ES</v>
      </c>
      <c r="B66" s="283" t="s">
        <v>364</v>
      </c>
      <c r="C66" s="288">
        <f>'Step2 - LRP Facility Strat'!AK127</f>
        <v>159453.5230384607</v>
      </c>
    </row>
    <row r="67" spans="1:3" x14ac:dyDescent="0.25">
      <c r="A67" s="277" t="str">
        <f>'Step2 - LRP Facility Strat'!A129</f>
        <v>Linder ES</v>
      </c>
      <c r="B67" s="283" t="s">
        <v>364</v>
      </c>
      <c r="C67" s="288">
        <f>'Step2 - LRP Facility Strat'!AK129</f>
        <v>60020368</v>
      </c>
    </row>
    <row r="68" spans="1:3" x14ac:dyDescent="0.25">
      <c r="A68" s="277" t="str">
        <f>'Step2 - LRP Facility Strat'!A131</f>
        <v>Lively MS</v>
      </c>
      <c r="B68" s="283" t="s">
        <v>364</v>
      </c>
      <c r="C68" s="288">
        <f>'Step2 - LRP Facility Strat'!AK131</f>
        <v>4399146.2901334921</v>
      </c>
    </row>
    <row r="69" spans="1:3" x14ac:dyDescent="0.25">
      <c r="A69" s="277" t="str">
        <f>'Step2 - LRP Facility Strat'!A133</f>
        <v>Maplewood ES</v>
      </c>
      <c r="B69" s="283" t="s">
        <v>364</v>
      </c>
      <c r="C69" s="288">
        <f>'Step2 - LRP Facility Strat'!AK133</f>
        <v>554588.68184452737</v>
      </c>
    </row>
    <row r="70" spans="1:3" x14ac:dyDescent="0.25">
      <c r="A70" s="277" t="str">
        <f>'Step2 - LRP Facility Strat'!A135</f>
        <v>Martin MS</v>
      </c>
      <c r="B70" s="283" t="s">
        <v>364</v>
      </c>
      <c r="C70" s="288">
        <f>'Step2 - LRP Facility Strat'!AK135</f>
        <v>0</v>
      </c>
    </row>
    <row r="71" spans="1:3" x14ac:dyDescent="0.25">
      <c r="A71" s="277" t="str">
        <f>'Step2 - LRP Facility Strat'!A137</f>
        <v>Mathews ES</v>
      </c>
      <c r="B71" s="283" t="s">
        <v>364</v>
      </c>
      <c r="C71" s="288">
        <f>'Step2 - LRP Facility Strat'!AK137</f>
        <v>407333.488975488</v>
      </c>
    </row>
    <row r="72" spans="1:3" x14ac:dyDescent="0.25">
      <c r="A72" s="277" t="str">
        <f>'Step2 - LRP Facility Strat'!A139</f>
        <v>McBee ES</v>
      </c>
      <c r="B72" s="283" t="s">
        <v>364</v>
      </c>
      <c r="C72" s="288">
        <f>'Step2 - LRP Facility Strat'!AK139</f>
        <v>0</v>
      </c>
    </row>
    <row r="73" spans="1:3" x14ac:dyDescent="0.25">
      <c r="A73" s="277" t="str">
        <f>'Step2 - LRP Facility Strat'!A141</f>
        <v>McCallum HS</v>
      </c>
      <c r="B73" s="283" t="s">
        <v>364</v>
      </c>
      <c r="C73" s="288">
        <f>'Step2 - LRP Facility Strat'!AK141</f>
        <v>28332840.190810729</v>
      </c>
    </row>
    <row r="74" spans="1:3" x14ac:dyDescent="0.25">
      <c r="A74" s="277" t="str">
        <f>'Step2 - LRP Facility Strat'!A143</f>
        <v>Menchaca ES</v>
      </c>
      <c r="B74" s="283" t="s">
        <v>364</v>
      </c>
      <c r="C74" s="288">
        <f>'Step2 - LRP Facility Strat'!AK143</f>
        <v>0</v>
      </c>
    </row>
    <row r="75" spans="1:3" x14ac:dyDescent="0.25">
      <c r="A75" s="277" t="str">
        <f>'Step2 - LRP Facility Strat'!A145</f>
        <v>Mendez MS</v>
      </c>
      <c r="B75" s="283" t="s">
        <v>364</v>
      </c>
      <c r="C75" s="288">
        <f>'Step2 - LRP Facility Strat'!AK145</f>
        <v>6803145.6025426853</v>
      </c>
    </row>
    <row r="76" spans="1:3" x14ac:dyDescent="0.25">
      <c r="A76" s="277" t="str">
        <f>'Step2 - LRP Facility Strat'!A147</f>
        <v>Mills ES</v>
      </c>
      <c r="B76" s="283" t="s">
        <v>364</v>
      </c>
      <c r="C76" s="288">
        <f>'Step2 - LRP Facility Strat'!AK147</f>
        <v>1312692.4455806476</v>
      </c>
    </row>
    <row r="77" spans="1:3" x14ac:dyDescent="0.25">
      <c r="A77" s="277" t="str">
        <f>'Step2 - LRP Facility Strat'!A149</f>
        <v>Murchison MS</v>
      </c>
      <c r="B77" s="283" t="s">
        <v>364</v>
      </c>
      <c r="C77" s="288">
        <f>'Step2 - LRP Facility Strat'!AK149</f>
        <v>3511932.2976000002</v>
      </c>
    </row>
    <row r="78" spans="1:3" x14ac:dyDescent="0.25">
      <c r="A78" s="277" t="str">
        <f>'Step2 - LRP Facility Strat'!A151</f>
        <v>Navarro ECHS</v>
      </c>
      <c r="B78" s="283" t="s">
        <v>364</v>
      </c>
      <c r="C78" s="288">
        <f>'Step2 - LRP Facility Strat'!AK151</f>
        <v>19840126.164525568</v>
      </c>
    </row>
    <row r="79" spans="1:3" x14ac:dyDescent="0.25">
      <c r="A79" s="277" t="str">
        <f>'Step2 - LRP Facility Strat'!A153</f>
        <v>Norman Sims ES</v>
      </c>
      <c r="B79" s="283" t="s">
        <v>364</v>
      </c>
      <c r="C79" s="288">
        <f>'Step2 - LRP Facility Strat'!AK153</f>
        <v>0</v>
      </c>
    </row>
    <row r="80" spans="1:3" x14ac:dyDescent="0.25">
      <c r="A80" s="277" t="str">
        <f>'Step2 - LRP Facility Strat'!A155</f>
        <v>Northeast ECHS</v>
      </c>
      <c r="B80" s="283" t="s">
        <v>364</v>
      </c>
      <c r="C80" s="288">
        <f>'Step2 - LRP Facility Strat'!AK155</f>
        <v>128897000</v>
      </c>
    </row>
    <row r="81" spans="1:3" x14ac:dyDescent="0.25">
      <c r="A81" s="277" t="str">
        <f>'Step2 - LRP Facility Strat'!A157</f>
        <v>O. Henry MS</v>
      </c>
      <c r="B81" s="283" t="s">
        <v>364</v>
      </c>
      <c r="C81" s="288">
        <f>'Step2 - LRP Facility Strat'!AK157</f>
        <v>4219583.3414715547</v>
      </c>
    </row>
    <row r="82" spans="1:3" x14ac:dyDescent="0.25">
      <c r="A82" s="277" t="str">
        <f>'Step2 - LRP Facility Strat'!A159</f>
        <v>Oak Hill ES</v>
      </c>
      <c r="B82" s="283" t="s">
        <v>364</v>
      </c>
      <c r="C82" s="288">
        <f>'Step2 - LRP Facility Strat'!AK159</f>
        <v>5383660.5953820106</v>
      </c>
    </row>
    <row r="83" spans="1:3" x14ac:dyDescent="0.25">
      <c r="A83" s="277" t="str">
        <f>'Step2 - LRP Facility Strat'!A161</f>
        <v>Oak Springs ES</v>
      </c>
      <c r="B83" s="283" t="s">
        <v>364</v>
      </c>
      <c r="C83" s="288">
        <f>'Step2 - LRP Facility Strat'!AK161</f>
        <v>46022000</v>
      </c>
    </row>
    <row r="84" spans="1:3" x14ac:dyDescent="0.25">
      <c r="A84" s="277" t="str">
        <f>'Step2 - LRP Facility Strat'!A163</f>
        <v>Odom ES</v>
      </c>
      <c r="B84" s="283" t="s">
        <v>364</v>
      </c>
      <c r="C84" s="288">
        <f>'Step2 - LRP Facility Strat'!AK163</f>
        <v>6998922.8206385635</v>
      </c>
    </row>
    <row r="85" spans="1:3" x14ac:dyDescent="0.25">
      <c r="A85" s="277" t="str">
        <f>'Step2 - LRP Facility Strat'!A165</f>
        <v>Ortega ES</v>
      </c>
      <c r="B85" s="283" t="s">
        <v>364</v>
      </c>
      <c r="C85" s="288">
        <f>'Step2 - LRP Facility Strat'!AK165</f>
        <v>5939635.8933775974</v>
      </c>
    </row>
    <row r="86" spans="1:3" x14ac:dyDescent="0.25">
      <c r="A86" s="277" t="str">
        <f>'Step2 - LRP Facility Strat'!A167</f>
        <v>Overton ES</v>
      </c>
      <c r="B86" s="283" t="s">
        <v>364</v>
      </c>
      <c r="C86" s="288">
        <f>'Step2 - LRP Facility Strat'!AK167</f>
        <v>3848652.222078912</v>
      </c>
    </row>
    <row r="87" spans="1:3" x14ac:dyDescent="0.25">
      <c r="A87" s="277" t="str">
        <f>'Step2 - LRP Facility Strat'!A169</f>
        <v>Padron ES</v>
      </c>
      <c r="B87" s="283" t="s">
        <v>364</v>
      </c>
      <c r="C87" s="288">
        <f>'Step2 - LRP Facility Strat'!AK169</f>
        <v>0</v>
      </c>
    </row>
    <row r="88" spans="1:3" x14ac:dyDescent="0.25">
      <c r="A88" s="277" t="str">
        <f>'Step2 - LRP Facility Strat'!A171</f>
        <v>Palm ES</v>
      </c>
      <c r="B88" s="283" t="s">
        <v>364</v>
      </c>
      <c r="C88" s="288">
        <f>'Step2 - LRP Facility Strat'!AK171</f>
        <v>7453698.8641537186</v>
      </c>
    </row>
    <row r="89" spans="1:3" x14ac:dyDescent="0.25">
      <c r="A89" s="277" t="str">
        <f>'Step2 - LRP Facility Strat'!A173</f>
        <v>Paredes MS</v>
      </c>
      <c r="B89" s="283" t="s">
        <v>364</v>
      </c>
      <c r="C89" s="288">
        <f>'Step2 - LRP Facility Strat'!AK173</f>
        <v>5591010.9650348676</v>
      </c>
    </row>
    <row r="90" spans="1:3" x14ac:dyDescent="0.25">
      <c r="A90" s="277" t="str">
        <f>'Step2 - LRP Facility Strat'!A175</f>
        <v>Patton ES</v>
      </c>
      <c r="B90" s="283" t="s">
        <v>364</v>
      </c>
      <c r="C90" s="288">
        <f>'Step2 - LRP Facility Strat'!AK175</f>
        <v>4099500.3505756008</v>
      </c>
    </row>
    <row r="91" spans="1:3" x14ac:dyDescent="0.25">
      <c r="A91" s="277" t="str">
        <f>'Step2 - LRP Facility Strat'!A177</f>
        <v>Pecan Springs ES</v>
      </c>
      <c r="B91" s="283" t="s">
        <v>364</v>
      </c>
      <c r="C91" s="288">
        <f>'Step2 - LRP Facility Strat'!AK177</f>
        <v>46022000</v>
      </c>
    </row>
    <row r="92" spans="1:3" x14ac:dyDescent="0.25">
      <c r="A92" s="277" t="str">
        <f>'Step2 - LRP Facility Strat'!A179</f>
        <v>Perez ES</v>
      </c>
      <c r="B92" s="283" t="s">
        <v>364</v>
      </c>
      <c r="C92" s="288">
        <f>'Step2 - LRP Facility Strat'!AK179</f>
        <v>2480543.1689821477</v>
      </c>
    </row>
    <row r="93" spans="1:3" x14ac:dyDescent="0.25">
      <c r="A93" s="277" t="str">
        <f>'Step2 - LRP Facility Strat'!A181</f>
        <v>Pickle ES</v>
      </c>
      <c r="B93" s="283" t="s">
        <v>364</v>
      </c>
      <c r="C93" s="288">
        <f>'Step2 - LRP Facility Strat'!AK181</f>
        <v>3529956.3367395839</v>
      </c>
    </row>
    <row r="94" spans="1:3" x14ac:dyDescent="0.25">
      <c r="A94" s="277" t="str">
        <f>'Step2 - LRP Facility Strat'!A183</f>
        <v>Pillow ES</v>
      </c>
      <c r="B94" s="283" t="s">
        <v>364</v>
      </c>
      <c r="C94" s="288">
        <f>'Step2 - LRP Facility Strat'!AK183</f>
        <v>2193153.9674219792</v>
      </c>
    </row>
    <row r="95" spans="1:3" x14ac:dyDescent="0.25">
      <c r="A95" s="277" t="str">
        <f>'Step2 - LRP Facility Strat'!A185</f>
        <v>Pleasant Hill Annex</v>
      </c>
      <c r="B95" s="283" t="s">
        <v>364</v>
      </c>
      <c r="C95" s="288">
        <f>'Step2 - LRP Facility Strat'!AK185</f>
        <v>2560442.4500118033</v>
      </c>
    </row>
    <row r="96" spans="1:3" x14ac:dyDescent="0.25">
      <c r="A96" s="277" t="str">
        <f>'Step2 - LRP Facility Strat'!A187</f>
        <v>Pleasant Hill ES</v>
      </c>
      <c r="B96" s="283" t="s">
        <v>364</v>
      </c>
      <c r="C96" s="288">
        <f>'Step2 - LRP Facility Strat'!AK187</f>
        <v>7520219.9999999991</v>
      </c>
    </row>
    <row r="97" spans="1:3" x14ac:dyDescent="0.25">
      <c r="A97" s="277" t="str">
        <f>'Step2 - LRP Facility Strat'!A189</f>
        <v>Reilly ES</v>
      </c>
      <c r="B97" s="283" t="s">
        <v>364</v>
      </c>
      <c r="C97" s="288">
        <f>'Step2 - LRP Facility Strat'!AK189</f>
        <v>2095244.9741388522</v>
      </c>
    </row>
    <row r="98" spans="1:3" x14ac:dyDescent="0.25">
      <c r="A98" s="277" t="str">
        <f>'Step2 - LRP Facility Strat'!A191</f>
        <v>Richards SYWL</v>
      </c>
      <c r="B98" s="283" t="s">
        <v>364</v>
      </c>
      <c r="C98" s="288">
        <f>'Step2 - LRP Facility Strat'!AK191</f>
        <v>0</v>
      </c>
    </row>
    <row r="99" spans="1:3" x14ac:dyDescent="0.25">
      <c r="A99" s="277" t="str">
        <f>'Step2 - LRP Facility Strat'!A193</f>
        <v>Ridgetop ES</v>
      </c>
      <c r="B99" s="283" t="s">
        <v>364</v>
      </c>
      <c r="C99" s="288">
        <f>'Step2 - LRP Facility Strat'!AK193</f>
        <v>373850.6244584957</v>
      </c>
    </row>
    <row r="100" spans="1:3" x14ac:dyDescent="0.25">
      <c r="A100" s="277" t="str">
        <f>'Step2 - LRP Facility Strat'!A195</f>
        <v>Rodriguez ES</v>
      </c>
      <c r="B100" s="283" t="s">
        <v>364</v>
      </c>
      <c r="C100" s="288">
        <f>'Step2 - LRP Facility Strat'!AK195</f>
        <v>4284839.7460937081</v>
      </c>
    </row>
    <row r="101" spans="1:3" x14ac:dyDescent="0.25">
      <c r="A101" s="277" t="str">
        <f>'Step2 - LRP Facility Strat'!A197</f>
        <v>Rosedale School</v>
      </c>
      <c r="B101" s="283" t="s">
        <v>364</v>
      </c>
      <c r="C101" s="288">
        <f>'Step2 - LRP Facility Strat'!AK197</f>
        <v>0</v>
      </c>
    </row>
    <row r="102" spans="1:3" x14ac:dyDescent="0.25">
      <c r="A102" s="277" t="str">
        <f>'Step2 - LRP Facility Strat'!A199</f>
        <v>Sadler Means YMLA</v>
      </c>
      <c r="B102" s="283" t="s">
        <v>364</v>
      </c>
      <c r="C102" s="288">
        <f>'Step2 - LRP Facility Strat'!AK199</f>
        <v>105380000</v>
      </c>
    </row>
    <row r="103" spans="1:3" x14ac:dyDescent="0.25">
      <c r="A103" s="277" t="str">
        <f>'Step2 - LRP Facility Strat'!A201</f>
        <v>Sanchez ES</v>
      </c>
      <c r="B103" s="283" t="s">
        <v>364</v>
      </c>
      <c r="C103" s="288">
        <f>'Step2 - LRP Facility Strat'!AK201</f>
        <v>650935.16929650726</v>
      </c>
    </row>
    <row r="104" spans="1:3" x14ac:dyDescent="0.25">
      <c r="A104" s="277" t="str">
        <f>'Step2 - LRP Facility Strat'!A203</f>
        <v>Small MS</v>
      </c>
      <c r="B104" s="283" t="s">
        <v>364</v>
      </c>
      <c r="C104" s="288">
        <f>'Step2 - LRP Facility Strat'!AK203</f>
        <v>45944.712603525753</v>
      </c>
    </row>
    <row r="105" spans="1:3" x14ac:dyDescent="0.25">
      <c r="A105" s="277" t="str">
        <f>'Step2 - LRP Facility Strat'!A205</f>
        <v>St. Elmo ES</v>
      </c>
      <c r="B105" s="283" t="s">
        <v>364</v>
      </c>
      <c r="C105" s="288">
        <f>'Step2 - LRP Facility Strat'!AK205</f>
        <v>4161081.9099536259</v>
      </c>
    </row>
    <row r="106" spans="1:3" x14ac:dyDescent="0.25">
      <c r="A106" s="277" t="str">
        <f>'Step2 - LRP Facility Strat'!A207</f>
        <v>Summitt ES</v>
      </c>
      <c r="B106" s="283" t="s">
        <v>364</v>
      </c>
      <c r="C106" s="288">
        <f>'Step2 - LRP Facility Strat'!AK207</f>
        <v>549046.63660854567</v>
      </c>
    </row>
    <row r="107" spans="1:3" x14ac:dyDescent="0.25">
      <c r="A107" s="277" t="str">
        <f>'Step2 - LRP Facility Strat'!A209</f>
        <v>Sunset Valley ES</v>
      </c>
      <c r="B107" s="283" t="s">
        <v>364</v>
      </c>
      <c r="C107" s="288">
        <f>'Step2 - LRP Facility Strat'!AK209</f>
        <v>843830.65027357824</v>
      </c>
    </row>
    <row r="108" spans="1:3" x14ac:dyDescent="0.25">
      <c r="A108" s="277" t="str">
        <f>'Step2 - LRP Facility Strat'!A211</f>
        <v>Travis ECHS</v>
      </c>
      <c r="B108" s="283" t="s">
        <v>364</v>
      </c>
      <c r="C108" s="288">
        <f>'Step2 - LRP Facility Strat'!AK211</f>
        <v>280492000</v>
      </c>
    </row>
    <row r="109" spans="1:3" x14ac:dyDescent="0.25">
      <c r="A109" s="277" t="str">
        <f>'Step2 - LRP Facility Strat'!A213</f>
        <v>Travis Heights ES</v>
      </c>
      <c r="B109" s="283" t="s">
        <v>364</v>
      </c>
      <c r="C109" s="288">
        <f>'Step2 - LRP Facility Strat'!AK213</f>
        <v>3109785.1532465247</v>
      </c>
    </row>
    <row r="110" spans="1:3" x14ac:dyDescent="0.25">
      <c r="A110" s="277" t="str">
        <f>'Step2 - LRP Facility Strat'!A215</f>
        <v>Uphaus Early Childhood Center</v>
      </c>
      <c r="B110" s="283" t="s">
        <v>364</v>
      </c>
      <c r="C110" s="288">
        <f>'Step2 - LRP Facility Strat'!AK215</f>
        <v>559795.19999999995</v>
      </c>
    </row>
    <row r="111" spans="1:3" x14ac:dyDescent="0.25">
      <c r="A111" s="277" t="str">
        <f>'Step2 - LRP Facility Strat'!A217</f>
        <v>Walnut Creek ES</v>
      </c>
      <c r="B111" s="283" t="s">
        <v>364</v>
      </c>
      <c r="C111" s="288">
        <f>'Step2 - LRP Facility Strat'!AK217</f>
        <v>4349100.6917841425</v>
      </c>
    </row>
    <row r="112" spans="1:3" x14ac:dyDescent="0.25">
      <c r="A112" s="277" t="str">
        <f>'Step2 - LRP Facility Strat'!A219</f>
        <v>Webb MS</v>
      </c>
      <c r="B112" s="283" t="s">
        <v>364</v>
      </c>
      <c r="C112" s="288">
        <f>'Step2 - LRP Facility Strat'!AK219</f>
        <v>0</v>
      </c>
    </row>
    <row r="113" spans="1:3" x14ac:dyDescent="0.25">
      <c r="A113" s="277" t="str">
        <f>'Step2 - LRP Facility Strat'!A221</f>
        <v>Widen ES</v>
      </c>
      <c r="B113" s="283" t="s">
        <v>364</v>
      </c>
      <c r="C113" s="288">
        <f>'Step2 - LRP Facility Strat'!AK221</f>
        <v>4993079.9869797388</v>
      </c>
    </row>
    <row r="114" spans="1:3" x14ac:dyDescent="0.25">
      <c r="A114" s="277" t="str">
        <f>'Step2 - LRP Facility Strat'!A223</f>
        <v>Williams ES</v>
      </c>
      <c r="B114" s="283" t="s">
        <v>364</v>
      </c>
      <c r="C114" s="288">
        <f>'Step2 - LRP Facility Strat'!AK223</f>
        <v>4789307.0875998195</v>
      </c>
    </row>
    <row r="115" spans="1:3" x14ac:dyDescent="0.25">
      <c r="A115" s="277" t="str">
        <f>'Step2 - LRP Facility Strat'!A225</f>
        <v>Winn ES</v>
      </c>
      <c r="B115" s="283" t="s">
        <v>364</v>
      </c>
      <c r="C115" s="288">
        <f>'Step2 - LRP Facility Strat'!AK225</f>
        <v>6461928.7947257152</v>
      </c>
    </row>
    <row r="116" spans="1:3" x14ac:dyDescent="0.25">
      <c r="A116" s="277" t="str">
        <f>'Step2 - LRP Facility Strat'!A227</f>
        <v>Wooldridge ES</v>
      </c>
      <c r="B116" s="283" t="s">
        <v>364</v>
      </c>
      <c r="C116" s="288">
        <f>'Step2 - LRP Facility Strat'!AK227</f>
        <v>38790000</v>
      </c>
    </row>
    <row r="117" spans="1:3" x14ac:dyDescent="0.25">
      <c r="A117" s="277" t="str">
        <f>'Step2 - LRP Facility Strat'!A229</f>
        <v>Wooten ES</v>
      </c>
      <c r="B117" s="283" t="s">
        <v>364</v>
      </c>
      <c r="C117" s="288">
        <f>'Step2 - LRP Facility Strat'!AK229</f>
        <v>2860562.3446028456</v>
      </c>
    </row>
    <row r="118" spans="1:3" x14ac:dyDescent="0.25">
      <c r="A118" s="277" t="str">
        <f>'Step2 - LRP Facility Strat'!A231</f>
        <v>Zavala ES</v>
      </c>
      <c r="B118" s="283" t="s">
        <v>364</v>
      </c>
      <c r="C118" s="288">
        <f>'Step2 - LRP Facility Strat'!AK231</f>
        <v>2465618.5192125477</v>
      </c>
    </row>
    <row r="119" spans="1:3" x14ac:dyDescent="0.25">
      <c r="A119" s="277" t="str">
        <f>'Step2 - LRP Facility Strat'!A233</f>
        <v>Zilker ES</v>
      </c>
      <c r="B119" s="283" t="s">
        <v>364</v>
      </c>
      <c r="C119" s="288">
        <f>'Step2 - LRP Facility Strat'!AK233</f>
        <v>638892.1740224472</v>
      </c>
    </row>
    <row r="120" spans="1:3" x14ac:dyDescent="0.25">
      <c r="A120" s="277" t="s">
        <v>365</v>
      </c>
      <c r="B120" s="283" t="s">
        <v>373</v>
      </c>
      <c r="C120" s="288">
        <f>'Non Campus'!F31</f>
        <v>0</v>
      </c>
    </row>
    <row r="121" spans="1:3" x14ac:dyDescent="0.25">
      <c r="A121" s="277" t="s">
        <v>233</v>
      </c>
      <c r="B121" s="283" t="s">
        <v>373</v>
      </c>
      <c r="C121" s="288">
        <f>'Non Campus'!F3</f>
        <v>0</v>
      </c>
    </row>
    <row r="122" spans="1:3" x14ac:dyDescent="0.25">
      <c r="A122" s="277" t="s">
        <v>366</v>
      </c>
      <c r="B122" s="277" t="s">
        <v>366</v>
      </c>
      <c r="C122" s="288">
        <f>'Non Campus'!F11</f>
        <v>0</v>
      </c>
    </row>
    <row r="123" spans="1:3" x14ac:dyDescent="0.25">
      <c r="A123" s="286"/>
      <c r="B123" s="283"/>
      <c r="C123" s="303">
        <f>SUM(Table6[Budget Amount])</f>
        <v>1530211760.0108843</v>
      </c>
    </row>
    <row r="124" spans="1:3" s="283" customFormat="1" x14ac:dyDescent="0.25">
      <c r="C124" s="288"/>
    </row>
    <row r="125" spans="1:3" s="283" customFormat="1" x14ac:dyDescent="0.25">
      <c r="C125" s="288"/>
    </row>
    <row r="126" spans="1:3" s="283" customFormat="1" x14ac:dyDescent="0.25">
      <c r="C126" s="288"/>
    </row>
    <row r="127" spans="1:3" s="283" customFormat="1" x14ac:dyDescent="0.25">
      <c r="C127" s="288"/>
    </row>
    <row r="128" spans="1:3" s="283" customFormat="1" x14ac:dyDescent="0.25">
      <c r="C128" s="288"/>
    </row>
    <row r="129" s="283" customFormat="1" x14ac:dyDescent="0.25"/>
  </sheetData>
  <mergeCells count="1">
    <mergeCell ref="A1:C1"/>
  </mergeCells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D49D708-76D8-4100-8AA2-1E13BD87ACAD}">
            <xm:f>'Step1 - Def and Mod Analysis'!$R9="Yes"</xm:f>
            <x14:dxf>
              <font>
                <color theme="4"/>
              </font>
              <fill>
                <patternFill>
                  <bgColor theme="4" tint="0.79998168889431442"/>
                </patternFill>
              </fill>
            </x14:dxf>
          </x14:cfRule>
          <xm:sqref>A5:C122</xm:sqref>
        </x14:conditionalFormatting>
        <x14:conditionalFormatting xmlns:xm="http://schemas.microsoft.com/office/excel/2006/main">
          <x14:cfRule type="expression" priority="5" id="{FD49D708-76D8-4100-8AA2-1E13BD87ACAD}">
            <xm:f>'Step1 - Def and Mod Analysis'!$R127="Yes"</xm:f>
            <x14:dxf>
              <font>
                <color theme="4"/>
              </font>
              <fill>
                <patternFill>
                  <bgColor theme="4" tint="0.79998168889431442"/>
                </patternFill>
              </fill>
            </x14:dxf>
          </x14:cfRule>
          <xm:sqref>A124:C128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2BDEE-0369-4A76-90B2-25835C224481}">
  <sheetPr>
    <tabColor rgb="FF99FF99"/>
    <pageSetUpPr fitToPage="1"/>
  </sheetPr>
  <dimension ref="A1:U987"/>
  <sheetViews>
    <sheetView topLeftCell="I1" zoomScale="70" zoomScaleNormal="70" workbookViewId="0">
      <selection activeCell="U1" sqref="U1"/>
    </sheetView>
  </sheetViews>
  <sheetFormatPr defaultColWidth="14.42578125" defaultRowHeight="15" customHeight="1" x14ac:dyDescent="0.4"/>
  <cols>
    <col min="1" max="1" width="54.7109375" style="7" customWidth="1"/>
    <col min="2" max="2" width="34" style="7" bestFit="1" customWidth="1"/>
    <col min="3" max="3" width="24.85546875" style="7" bestFit="1" customWidth="1"/>
    <col min="4" max="7" width="27" style="5" bestFit="1" customWidth="1"/>
    <col min="8" max="8" width="23.140625" style="66" customWidth="1"/>
    <col min="9" max="9" width="28.28515625" style="5" customWidth="1"/>
    <col min="10" max="10" width="30.5703125" style="5" customWidth="1"/>
    <col min="11" max="11" width="28" style="5" customWidth="1"/>
    <col min="12" max="12" width="29.42578125" style="6" bestFit="1" customWidth="1"/>
    <col min="13" max="13" width="34.28515625" style="7" hidden="1" customWidth="1"/>
    <col min="14" max="14" width="30.85546875" style="7" hidden="1" customWidth="1"/>
    <col min="15" max="15" width="34" style="7" hidden="1" customWidth="1"/>
    <col min="16" max="16" width="30.5703125" style="7" customWidth="1"/>
    <col min="17" max="17" width="28.28515625" style="7" customWidth="1"/>
    <col min="18" max="18" width="35.140625" style="7" bestFit="1" customWidth="1"/>
    <col min="19" max="19" width="35.42578125" style="7" customWidth="1"/>
    <col min="20" max="20" width="42.140625" style="7" customWidth="1"/>
    <col min="21" max="21" width="42" style="7" customWidth="1"/>
    <col min="22" max="16384" width="14.42578125" style="7"/>
  </cols>
  <sheetData>
    <row r="1" spans="1:21" s="9" customFormat="1" ht="79.5" thickBot="1" x14ac:dyDescent="0.3">
      <c r="A1" s="111"/>
      <c r="B1" s="111"/>
      <c r="D1" s="8"/>
      <c r="E1" s="8"/>
      <c r="F1" s="8"/>
      <c r="G1" s="8"/>
      <c r="H1" s="67"/>
      <c r="I1" s="8"/>
      <c r="S1" s="108" t="s">
        <v>248</v>
      </c>
      <c r="T1" s="111" t="s">
        <v>245</v>
      </c>
      <c r="U1" s="111" t="s">
        <v>253</v>
      </c>
    </row>
    <row r="2" spans="1:21" ht="27" thickBot="1" x14ac:dyDescent="0.45">
      <c r="S2" s="109">
        <f>COUNTIF(R9:R123,"yes")</f>
        <v>16</v>
      </c>
      <c r="T2" s="133">
        <f>SUM($S$9:$S$123)</f>
        <v>1181872368</v>
      </c>
      <c r="U2" s="133">
        <f>SUM(U9:U123)-T2</f>
        <v>348339392.01088428</v>
      </c>
    </row>
    <row r="3" spans="1:21" ht="26.25" x14ac:dyDescent="0.4"/>
    <row r="4" spans="1:21" ht="26.25" x14ac:dyDescent="0.4"/>
    <row r="5" spans="1:21" ht="25.5" customHeight="1" thickBot="1" x14ac:dyDescent="0.45">
      <c r="B5" s="319" t="s">
        <v>250</v>
      </c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1"/>
    </row>
    <row r="6" spans="1:21" s="10" customFormat="1" ht="29.25" customHeight="1" x14ac:dyDescent="0.25">
      <c r="A6" s="317" t="s">
        <v>128</v>
      </c>
      <c r="B6" s="130">
        <v>1</v>
      </c>
      <c r="C6" s="130">
        <v>2</v>
      </c>
      <c r="D6" s="130">
        <v>3</v>
      </c>
      <c r="E6" s="130">
        <v>4</v>
      </c>
      <c r="F6" s="130">
        <v>5</v>
      </c>
      <c r="G6" s="130">
        <v>6</v>
      </c>
      <c r="H6" s="322" t="s">
        <v>249</v>
      </c>
      <c r="I6" s="322" t="s">
        <v>132</v>
      </c>
      <c r="J6" s="323" t="s">
        <v>13</v>
      </c>
      <c r="K6" s="311" t="s">
        <v>16</v>
      </c>
      <c r="L6" s="311" t="s">
        <v>251</v>
      </c>
      <c r="M6" s="132"/>
      <c r="N6" s="132"/>
      <c r="O6" s="132"/>
      <c r="P6" s="311" t="s">
        <v>243</v>
      </c>
      <c r="Q6" s="311" t="s">
        <v>244</v>
      </c>
      <c r="R6" s="311" t="s">
        <v>149</v>
      </c>
      <c r="S6" s="311" t="s">
        <v>163</v>
      </c>
      <c r="T6" s="311" t="s">
        <v>162</v>
      </c>
      <c r="U6" s="311" t="s">
        <v>252</v>
      </c>
    </row>
    <row r="7" spans="1:21" s="10" customFormat="1" ht="53.25" customHeight="1" x14ac:dyDescent="0.25">
      <c r="A7" s="318"/>
      <c r="B7" s="131" t="s">
        <v>6</v>
      </c>
      <c r="C7" s="131" t="s">
        <v>8</v>
      </c>
      <c r="D7" s="131" t="s">
        <v>8</v>
      </c>
      <c r="E7" s="131" t="s">
        <v>6</v>
      </c>
      <c r="F7" s="131" t="s">
        <v>8</v>
      </c>
      <c r="G7" s="131" t="s">
        <v>11</v>
      </c>
      <c r="H7" s="312"/>
      <c r="I7" s="312"/>
      <c r="J7" s="312"/>
      <c r="K7" s="312"/>
      <c r="L7" s="312"/>
      <c r="M7" s="314" t="s">
        <v>159</v>
      </c>
      <c r="N7" s="314" t="s">
        <v>158</v>
      </c>
      <c r="O7" s="314" t="s">
        <v>163</v>
      </c>
      <c r="P7" s="312"/>
      <c r="Q7" s="312"/>
      <c r="R7" s="312"/>
      <c r="S7" s="312"/>
      <c r="T7" s="312"/>
      <c r="U7" s="312"/>
    </row>
    <row r="8" spans="1:21" s="10" customFormat="1" ht="87" customHeight="1" x14ac:dyDescent="0.25">
      <c r="A8" s="318"/>
      <c r="B8" s="131" t="s">
        <v>5</v>
      </c>
      <c r="C8" s="131" t="s">
        <v>9</v>
      </c>
      <c r="D8" s="131" t="s">
        <v>10</v>
      </c>
      <c r="E8" s="131" t="s">
        <v>7</v>
      </c>
      <c r="F8" s="131" t="s">
        <v>7</v>
      </c>
      <c r="G8" s="131" t="s">
        <v>12</v>
      </c>
      <c r="H8" s="313"/>
      <c r="I8" s="313"/>
      <c r="J8" s="313"/>
      <c r="K8" s="313"/>
      <c r="L8" s="313"/>
      <c r="M8" s="316"/>
      <c r="N8" s="315"/>
      <c r="O8" s="316"/>
      <c r="P8" s="313"/>
      <c r="Q8" s="313"/>
      <c r="R8" s="313"/>
      <c r="S8" s="313"/>
      <c r="T8" s="313"/>
      <c r="U8" s="313"/>
    </row>
    <row r="9" spans="1:21" ht="26.25" x14ac:dyDescent="0.4">
      <c r="A9" s="11" t="s">
        <v>122</v>
      </c>
      <c r="B9" s="12">
        <v>1588461.5637917465</v>
      </c>
      <c r="C9" s="13">
        <v>1558396.8</v>
      </c>
      <c r="D9" s="13">
        <v>12329421.6</v>
      </c>
      <c r="E9" s="13">
        <v>15773948.02233829</v>
      </c>
      <c r="F9" s="13">
        <v>20759757.599999998</v>
      </c>
      <c r="G9" s="12">
        <f>VLOOKUP(A9,'NPV Analysis'!$A$9:$R$123,16)</f>
        <v>12000094.60221402</v>
      </c>
      <c r="H9" s="68">
        <f>VLOOKUP(A9,'LRP Tier Groupings'!$A$4:D118,3)</f>
        <v>0</v>
      </c>
      <c r="I9" s="12">
        <f>VLOOKUP(A9,'NPV Analysis'!$A$9:$R$123,2)</f>
        <v>92644043.209308863</v>
      </c>
      <c r="J9" s="110">
        <f t="shared" ref="J9:J72" si="0">IF(H9=0,2,H9+2)</f>
        <v>2</v>
      </c>
      <c r="K9" s="12">
        <f t="shared" ref="K9:K40" si="1">IF(J9=1,B9,IF(J9=2,SUM(B9:C9),IF(J9=3,SUM(B9:D9),IF(J9=4,SUM(B9:E9),IF(J9=5,SUM(B9:F9),IF(J9=6,SUM(B9:G9),0))))))</f>
        <v>3146858.3637917466</v>
      </c>
      <c r="L9" s="115">
        <v>349289.63810055202</v>
      </c>
      <c r="M9" s="14">
        <v>0</v>
      </c>
      <c r="N9" s="14">
        <v>0</v>
      </c>
      <c r="O9" s="12" t="str">
        <f>IF(N9=1,M9*Assumptions!$B$3,IF(N9=2,Assumptions!$C$3*M9,""))</f>
        <v/>
      </c>
      <c r="P9" s="12"/>
      <c r="Q9" s="12"/>
      <c r="R9" s="113" t="s">
        <v>247</v>
      </c>
      <c r="S9" s="116" t="str">
        <f>IF(R9="yes",SUM(P9:Q9),"")</f>
        <v/>
      </c>
      <c r="T9" s="117" t="str">
        <f t="shared" ref="T9:T40" si="2">IF(R9="yes",K9=0,"Update")</f>
        <v>Update</v>
      </c>
      <c r="U9" s="128">
        <f>IF(R9="yes",S9,IF(R9="No",K9,"NG"))</f>
        <v>3146858.3637917466</v>
      </c>
    </row>
    <row r="10" spans="1:21" s="85" customFormat="1" ht="26.25" x14ac:dyDescent="0.4">
      <c r="A10" s="15" t="s">
        <v>17</v>
      </c>
      <c r="B10" s="16">
        <v>1232892.2820318323</v>
      </c>
      <c r="C10" s="82">
        <v>573403.19999999995</v>
      </c>
      <c r="D10" s="82">
        <v>3032512.8</v>
      </c>
      <c r="E10" s="13">
        <v>3450077.1434830064</v>
      </c>
      <c r="F10" s="82">
        <v>13817894.4</v>
      </c>
      <c r="G10" s="16">
        <f>VLOOKUP(A10,'NPV Analysis'!$A$9:$R$123,16)</f>
        <v>3013827.0844233963</v>
      </c>
      <c r="H10" s="83">
        <f>VLOOKUP(A10,'LRP Tier Groupings'!$A$4:D119,3)</f>
        <v>1</v>
      </c>
      <c r="I10" s="16">
        <f>VLOOKUP(A10,'NPV Analysis'!$A$9:$R$123,2)</f>
        <v>26555457.181206096</v>
      </c>
      <c r="J10" s="110">
        <f t="shared" si="0"/>
        <v>3</v>
      </c>
      <c r="K10" s="16">
        <f t="shared" si="1"/>
        <v>4838808.2820318323</v>
      </c>
      <c r="L10" s="118">
        <v>61426.368708510301</v>
      </c>
      <c r="M10" s="84">
        <v>80000</v>
      </c>
      <c r="N10" s="84">
        <v>1</v>
      </c>
      <c r="O10" s="16">
        <f>IF(N10=1,M10*Assumptions!$B$3,IF(N10=2,Assumptions!$C$3*M10,""))</f>
        <v>52000000</v>
      </c>
      <c r="P10" s="16">
        <v>60020000</v>
      </c>
      <c r="Q10" s="16"/>
      <c r="R10" s="114" t="s">
        <v>160</v>
      </c>
      <c r="S10" s="116">
        <f>IF(R10="yes",SUM(P10:Q10),"")</f>
        <v>60020000</v>
      </c>
      <c r="T10" s="119" t="b">
        <f t="shared" si="2"/>
        <v>0</v>
      </c>
      <c r="U10" s="128">
        <f t="shared" ref="U10:U73" si="3">IF(R10="yes",S10,IF(R10="No",K10,"NG"))</f>
        <v>60020000</v>
      </c>
    </row>
    <row r="11" spans="1:21" s="85" customFormat="1" ht="26.25" x14ac:dyDescent="0.4">
      <c r="A11" s="15" t="s">
        <v>18</v>
      </c>
      <c r="B11" s="16">
        <v>1808048.4348733318</v>
      </c>
      <c r="C11" s="82">
        <v>109327.2</v>
      </c>
      <c r="D11" s="82">
        <v>2651798.4</v>
      </c>
      <c r="E11" s="13">
        <v>37087852.016793035</v>
      </c>
      <c r="F11" s="82">
        <v>10189279.199999999</v>
      </c>
      <c r="G11" s="16">
        <f>VLOOKUP(A11,'NPV Analysis'!$A$9:$R$123,16)</f>
        <v>8119742.336293241</v>
      </c>
      <c r="H11" s="83">
        <f>VLOOKUP(A11,'LRP Tier Groupings'!$A$4:D120,3)</f>
        <v>0</v>
      </c>
      <c r="I11" s="16">
        <f>VLOOKUP(A11,'NPV Analysis'!$A$9:$R$123,2)</f>
        <v>107734295.26178366</v>
      </c>
      <c r="J11" s="110">
        <f t="shared" si="0"/>
        <v>2</v>
      </c>
      <c r="K11" s="16">
        <f t="shared" si="1"/>
        <v>1917375.6348733318</v>
      </c>
      <c r="L11" s="120">
        <v>335708.27425772202</v>
      </c>
      <c r="M11" s="84">
        <v>0</v>
      </c>
      <c r="N11" s="84">
        <v>0</v>
      </c>
      <c r="O11" s="16" t="str">
        <f>IF(N11=1,M11*Assumptions!$B$3,IF(N11=2,Assumptions!$C$3*M11,""))</f>
        <v/>
      </c>
      <c r="P11" s="16"/>
      <c r="Q11" s="16"/>
      <c r="R11" s="113" t="s">
        <v>247</v>
      </c>
      <c r="S11" s="116" t="str">
        <f t="shared" ref="S11:S74" si="4">IF(R11="yes",SUM(P11:Q11),"")</f>
        <v/>
      </c>
      <c r="T11" s="119" t="str">
        <f t="shared" si="2"/>
        <v>Update</v>
      </c>
      <c r="U11" s="128">
        <f t="shared" si="3"/>
        <v>1917375.6348733318</v>
      </c>
    </row>
    <row r="12" spans="1:21" s="85" customFormat="1" ht="26.25" x14ac:dyDescent="0.4">
      <c r="A12" s="15" t="s">
        <v>19</v>
      </c>
      <c r="B12" s="16">
        <v>3605262.8363596196</v>
      </c>
      <c r="C12" s="82">
        <v>0</v>
      </c>
      <c r="D12" s="82">
        <v>856588.79999999993</v>
      </c>
      <c r="E12" s="13">
        <v>6658562.307237437</v>
      </c>
      <c r="F12" s="82">
        <v>4567137.5999999996</v>
      </c>
      <c r="G12" s="16">
        <f>VLOOKUP(A12,'NPV Analysis'!$A$9:$R$123,16)</f>
        <v>0</v>
      </c>
      <c r="H12" s="83">
        <f>VLOOKUP(A12,'LRP Tier Groupings'!$A$4:D121,3)</f>
        <v>1</v>
      </c>
      <c r="I12" s="16">
        <f>VLOOKUP(A12,'NPV Analysis'!$A$9:$R$123,2)</f>
        <v>23563560.768301394</v>
      </c>
      <c r="J12" s="110">
        <f t="shared" si="0"/>
        <v>3</v>
      </c>
      <c r="K12" s="16">
        <f t="shared" si="1"/>
        <v>4461851.6363596199</v>
      </c>
      <c r="L12" s="120">
        <v>61659.826587959898</v>
      </c>
      <c r="M12" s="84">
        <v>0</v>
      </c>
      <c r="N12" s="84">
        <v>1</v>
      </c>
      <c r="O12" s="16">
        <f>IF(N12=1,M12*Assumptions!$B$3,IF(N12=2,Assumptions!$C$3*M12,""))</f>
        <v>0</v>
      </c>
      <c r="P12" s="16">
        <v>30000000</v>
      </c>
      <c r="Q12" s="16"/>
      <c r="R12" s="114" t="s">
        <v>167</v>
      </c>
      <c r="S12" s="116">
        <f t="shared" si="4"/>
        <v>30000000</v>
      </c>
      <c r="T12" s="119" t="b">
        <f t="shared" si="2"/>
        <v>0</v>
      </c>
      <c r="U12" s="128">
        <f t="shared" si="3"/>
        <v>30000000</v>
      </c>
    </row>
    <row r="13" spans="1:21" s="85" customFormat="1" ht="26.25" x14ac:dyDescent="0.4">
      <c r="A13" s="15" t="s">
        <v>164</v>
      </c>
      <c r="B13" s="16">
        <v>0</v>
      </c>
      <c r="C13" s="82">
        <v>0</v>
      </c>
      <c r="D13" s="82">
        <v>1643164.8</v>
      </c>
      <c r="E13" s="13">
        <v>0</v>
      </c>
      <c r="F13" s="82">
        <v>5863903.2000000002</v>
      </c>
      <c r="G13" s="16">
        <f>VLOOKUP(A13,'NPV Analysis'!$A$9:$R$123,16)</f>
        <v>338665.28515122097</v>
      </c>
      <c r="H13" s="83">
        <f>VLOOKUP(A13,'LRP Tier Groupings'!$A$4:D122,3)</f>
        <v>1</v>
      </c>
      <c r="I13" s="16">
        <f>VLOOKUP(A13,'NPV Analysis'!$A$9:$R$123,2)</f>
        <v>63765021.135897964</v>
      </c>
      <c r="J13" s="110">
        <f t="shared" si="0"/>
        <v>3</v>
      </c>
      <c r="K13" s="16">
        <f t="shared" si="1"/>
        <v>1643164.8</v>
      </c>
      <c r="L13" s="118">
        <v>112678.98659729501</v>
      </c>
      <c r="M13" s="84">
        <v>0</v>
      </c>
      <c r="N13" s="84">
        <v>0</v>
      </c>
      <c r="O13" s="16" t="str">
        <f>IF(N13=1,M13*Assumptions!$B$3,IF(N13=2,Assumptions!$C$3*M13,""))</f>
        <v/>
      </c>
      <c r="P13" s="16"/>
      <c r="Q13" s="16"/>
      <c r="R13" s="113" t="s">
        <v>247</v>
      </c>
      <c r="S13" s="116" t="str">
        <f t="shared" si="4"/>
        <v/>
      </c>
      <c r="T13" s="119" t="str">
        <f t="shared" si="2"/>
        <v>Update</v>
      </c>
      <c r="U13" s="128">
        <f t="shared" si="3"/>
        <v>1643164.8</v>
      </c>
    </row>
    <row r="14" spans="1:21" s="85" customFormat="1" ht="26.25" x14ac:dyDescent="0.4">
      <c r="A14" s="15" t="s">
        <v>20</v>
      </c>
      <c r="B14" s="16">
        <v>9377054.4867602978</v>
      </c>
      <c r="C14" s="82">
        <v>0</v>
      </c>
      <c r="D14" s="82">
        <v>26622540</v>
      </c>
      <c r="E14" s="13">
        <v>19718677.530381806</v>
      </c>
      <c r="F14" s="82">
        <v>12500524.799999999</v>
      </c>
      <c r="G14" s="16">
        <f>VLOOKUP(A14,'NPV Analysis'!$A$9:$R$123,16)</f>
        <v>930322.35691307799</v>
      </c>
      <c r="H14" s="83">
        <f>VLOOKUP(A14,'LRP Tier Groupings'!$A$4:D123,3)</f>
        <v>0</v>
      </c>
      <c r="I14" s="16">
        <f>VLOOKUP(A14,'NPV Analysis'!$A$9:$R$123,2)</f>
        <v>130673779.14911298</v>
      </c>
      <c r="J14" s="110">
        <f t="shared" si="0"/>
        <v>2</v>
      </c>
      <c r="K14" s="16">
        <f t="shared" si="1"/>
        <v>9377054.4867602978</v>
      </c>
      <c r="L14" s="120">
        <v>341507.88733539998</v>
      </c>
      <c r="M14" s="84">
        <v>0</v>
      </c>
      <c r="N14" s="84">
        <v>0</v>
      </c>
      <c r="O14" s="16" t="str">
        <f>IF(N14=1,M14*Assumptions!$B$3,IF(N14=2,Assumptions!$C$3*M14,""))</f>
        <v/>
      </c>
      <c r="P14" s="16"/>
      <c r="Q14" s="16"/>
      <c r="R14" s="113" t="s">
        <v>247</v>
      </c>
      <c r="S14" s="116" t="str">
        <f t="shared" si="4"/>
        <v/>
      </c>
      <c r="T14" s="119" t="str">
        <f t="shared" si="2"/>
        <v>Update</v>
      </c>
      <c r="U14" s="128">
        <f t="shared" si="3"/>
        <v>9377054.4867602978</v>
      </c>
    </row>
    <row r="15" spans="1:21" s="85" customFormat="1" ht="26.25" x14ac:dyDescent="0.4">
      <c r="A15" s="15" t="s">
        <v>21</v>
      </c>
      <c r="B15" s="16">
        <v>7883551.6588616604</v>
      </c>
      <c r="C15" s="82">
        <v>0</v>
      </c>
      <c r="D15" s="82">
        <v>16878993.599999998</v>
      </c>
      <c r="E15" s="13">
        <v>19242828.879062761</v>
      </c>
      <c r="F15" s="82">
        <v>20108390.399999999</v>
      </c>
      <c r="G15" s="16">
        <f>VLOOKUP(A15,'NPV Analysis'!$A$9:$R$123,16)</f>
        <v>0</v>
      </c>
      <c r="H15" s="83">
        <f>VLOOKUP(A15,'LRP Tier Groupings'!$A$4:D124,3)</f>
        <v>0</v>
      </c>
      <c r="I15" s="16">
        <f>VLOOKUP(A15,'NPV Analysis'!$A$9:$R$123,2)</f>
        <v>73122731.157055244</v>
      </c>
      <c r="J15" s="110">
        <f t="shared" si="0"/>
        <v>2</v>
      </c>
      <c r="K15" s="16">
        <f t="shared" si="1"/>
        <v>7883551.6588616604</v>
      </c>
      <c r="L15" s="120">
        <v>150065.21542562201</v>
      </c>
      <c r="M15" s="84">
        <v>0</v>
      </c>
      <c r="N15" s="84">
        <v>0</v>
      </c>
      <c r="O15" s="16" t="str">
        <f>IF(N15=1,M15*Assumptions!$B$3,IF(N15=2,Assumptions!$C$3*M15,""))</f>
        <v/>
      </c>
      <c r="P15" s="16"/>
      <c r="Q15" s="16"/>
      <c r="R15" s="113" t="s">
        <v>247</v>
      </c>
      <c r="S15" s="116" t="str">
        <f t="shared" si="4"/>
        <v/>
      </c>
      <c r="T15" s="119" t="str">
        <f t="shared" si="2"/>
        <v>Update</v>
      </c>
      <c r="U15" s="128">
        <f t="shared" si="3"/>
        <v>7883551.6588616604</v>
      </c>
    </row>
    <row r="16" spans="1:21" s="85" customFormat="1" ht="26.25" x14ac:dyDescent="0.4">
      <c r="A16" s="15" t="s">
        <v>22</v>
      </c>
      <c r="B16" s="16">
        <v>1630060.2611005385</v>
      </c>
      <c r="C16" s="82">
        <v>827637.6</v>
      </c>
      <c r="D16" s="82">
        <v>690199.2</v>
      </c>
      <c r="E16" s="13">
        <v>4988884.8005254865</v>
      </c>
      <c r="F16" s="82">
        <v>1701756</v>
      </c>
      <c r="G16" s="16">
        <f>VLOOKUP(A16,'NPV Analysis'!$A$9:$R$123,16)</f>
        <v>0</v>
      </c>
      <c r="H16" s="83">
        <f>VLOOKUP(A16,'LRP Tier Groupings'!$A$4:D125,3)</f>
        <v>0</v>
      </c>
      <c r="I16" s="16">
        <f>VLOOKUP(A16,'NPV Analysis'!$A$9:$R$123,2)</f>
        <v>31953519.996929094</v>
      </c>
      <c r="J16" s="110">
        <f t="shared" si="0"/>
        <v>2</v>
      </c>
      <c r="K16" s="16">
        <f t="shared" si="1"/>
        <v>2457697.8611005386</v>
      </c>
      <c r="L16" s="118">
        <v>86895.969049911393</v>
      </c>
      <c r="M16" s="84">
        <v>0</v>
      </c>
      <c r="N16" s="84">
        <v>0</v>
      </c>
      <c r="O16" s="16" t="str">
        <f>IF(N16=1,M16*Assumptions!$B$3,IF(N16=2,Assumptions!$C$3*M16,""))</f>
        <v/>
      </c>
      <c r="P16" s="16"/>
      <c r="Q16" s="16"/>
      <c r="R16" s="113" t="s">
        <v>247</v>
      </c>
      <c r="S16" s="116" t="str">
        <f t="shared" si="4"/>
        <v/>
      </c>
      <c r="T16" s="119" t="str">
        <f t="shared" si="2"/>
        <v>Update</v>
      </c>
      <c r="U16" s="128">
        <f t="shared" si="3"/>
        <v>2457697.8611005386</v>
      </c>
    </row>
    <row r="17" spans="1:21" s="85" customFormat="1" ht="26.25" x14ac:dyDescent="0.4">
      <c r="A17" s="15" t="s">
        <v>23</v>
      </c>
      <c r="B17" s="16">
        <v>4862068.8294460829</v>
      </c>
      <c r="C17" s="82">
        <v>279772.79999999999</v>
      </c>
      <c r="D17" s="82">
        <v>139094.39999999999</v>
      </c>
      <c r="E17" s="13">
        <v>4849496.9926729286</v>
      </c>
      <c r="F17" s="82">
        <v>5356564.8</v>
      </c>
      <c r="G17" s="16">
        <f>VLOOKUP(A17,'NPV Analysis'!$A$9:$R$123,16)</f>
        <v>114883.18599446808</v>
      </c>
      <c r="H17" s="83">
        <f>VLOOKUP(A17,'LRP Tier Groupings'!$A$4:D126,3)</f>
        <v>0</v>
      </c>
      <c r="I17" s="16">
        <f>VLOOKUP(A17,'NPV Analysis'!$A$9:$R$123,2)</f>
        <v>25110781.845790528</v>
      </c>
      <c r="J17" s="110">
        <f t="shared" si="0"/>
        <v>2</v>
      </c>
      <c r="K17" s="16">
        <f t="shared" si="1"/>
        <v>5141841.6294460827</v>
      </c>
      <c r="L17" s="118">
        <v>80087.789999999994</v>
      </c>
      <c r="M17" s="84">
        <v>0</v>
      </c>
      <c r="N17" s="84">
        <v>0</v>
      </c>
      <c r="O17" s="16" t="str">
        <f>IF(N17=1,M17*Assumptions!$B$3,IF(N17=2,Assumptions!$C$3*M17,""))</f>
        <v/>
      </c>
      <c r="P17" s="16"/>
      <c r="Q17" s="16"/>
      <c r="R17" s="113" t="s">
        <v>247</v>
      </c>
      <c r="S17" s="116" t="str">
        <f t="shared" si="4"/>
        <v/>
      </c>
      <c r="T17" s="119" t="str">
        <f t="shared" si="2"/>
        <v>Update</v>
      </c>
      <c r="U17" s="128">
        <f t="shared" si="3"/>
        <v>5141841.6294460827</v>
      </c>
    </row>
    <row r="18" spans="1:21" s="85" customFormat="1" ht="26.25" x14ac:dyDescent="0.4">
      <c r="A18" s="15" t="s">
        <v>24</v>
      </c>
      <c r="B18" s="16">
        <v>4111571.8566764011</v>
      </c>
      <c r="C18" s="82">
        <v>135904.79999999999</v>
      </c>
      <c r="D18" s="82">
        <v>7654264.7999999998</v>
      </c>
      <c r="E18" s="13">
        <v>9748674.5511408355</v>
      </c>
      <c r="F18" s="82">
        <v>5838540</v>
      </c>
      <c r="G18" s="16">
        <f>VLOOKUP(A18,'NPV Analysis'!$A$9:$R$123,16)</f>
        <v>2226904.4897309504</v>
      </c>
      <c r="H18" s="83">
        <f>VLOOKUP(A18,'LRP Tier Groupings'!$A$4:D127,3)</f>
        <v>1</v>
      </c>
      <c r="I18" s="16">
        <f>VLOOKUP(A18,'NPV Analysis'!$A$9:$R$123,2)</f>
        <v>37704611.390094437</v>
      </c>
      <c r="J18" s="110">
        <f t="shared" si="0"/>
        <v>3</v>
      </c>
      <c r="K18" s="16">
        <f t="shared" si="1"/>
        <v>11901741.456676401</v>
      </c>
      <c r="L18" s="118">
        <v>79689.378159201297</v>
      </c>
      <c r="M18" s="84">
        <v>85000</v>
      </c>
      <c r="N18" s="84">
        <v>1</v>
      </c>
      <c r="O18" s="16">
        <f>IF(N18=1,M18*Assumptions!$B$3,IF(N18=2,Assumptions!$C$3*M18,""))</f>
        <v>55250000</v>
      </c>
      <c r="P18" s="16">
        <v>60020000</v>
      </c>
      <c r="Q18" s="16"/>
      <c r="R18" s="114" t="s">
        <v>160</v>
      </c>
      <c r="S18" s="116">
        <f t="shared" si="4"/>
        <v>60020000</v>
      </c>
      <c r="T18" s="119" t="b">
        <f t="shared" si="2"/>
        <v>0</v>
      </c>
      <c r="U18" s="128">
        <f t="shared" si="3"/>
        <v>60020000</v>
      </c>
    </row>
    <row r="19" spans="1:21" s="85" customFormat="1" ht="26.25" x14ac:dyDescent="0.4">
      <c r="A19" s="15" t="s">
        <v>25</v>
      </c>
      <c r="B19" s="16">
        <v>262126.21228675428</v>
      </c>
      <c r="C19" s="82">
        <v>167044.79999999999</v>
      </c>
      <c r="D19" s="82">
        <v>285456</v>
      </c>
      <c r="E19" s="13">
        <v>7342683.4757943861</v>
      </c>
      <c r="F19" s="82">
        <v>4153492.8</v>
      </c>
      <c r="G19" s="16">
        <f>VLOOKUP(A19,'NPV Analysis'!$A$9:$R$123,16)</f>
        <v>1184384.7528308162</v>
      </c>
      <c r="H19" s="83">
        <f>VLOOKUP(A19,'LRP Tier Groupings'!$A$4:D128,3)</f>
        <v>0</v>
      </c>
      <c r="I19" s="16">
        <f>VLOOKUP(A19,'NPV Analysis'!$A$9:$R$123,2)</f>
        <v>22509775.17430485</v>
      </c>
      <c r="J19" s="110">
        <f t="shared" si="0"/>
        <v>2</v>
      </c>
      <c r="K19" s="16">
        <f t="shared" si="1"/>
        <v>429171.01228675427</v>
      </c>
      <c r="L19" s="120">
        <v>38169.772419493704</v>
      </c>
      <c r="M19" s="84">
        <v>0</v>
      </c>
      <c r="N19" s="84">
        <v>0</v>
      </c>
      <c r="O19" s="16" t="str">
        <f>IF(N19=1,M19*Assumptions!$B$3,IF(N19=2,Assumptions!$C$3*M19,""))</f>
        <v/>
      </c>
      <c r="P19" s="16"/>
      <c r="Q19" s="16"/>
      <c r="R19" s="113" t="s">
        <v>247</v>
      </c>
      <c r="S19" s="116" t="str">
        <f t="shared" si="4"/>
        <v/>
      </c>
      <c r="T19" s="119" t="str">
        <f t="shared" si="2"/>
        <v>Update</v>
      </c>
      <c r="U19" s="128">
        <f t="shared" si="3"/>
        <v>429171.01228675427</v>
      </c>
    </row>
    <row r="20" spans="1:21" s="85" customFormat="1" ht="26.25" x14ac:dyDescent="0.4">
      <c r="A20" s="15" t="s">
        <v>26</v>
      </c>
      <c r="B20" s="16">
        <v>0</v>
      </c>
      <c r="C20" s="82">
        <v>0</v>
      </c>
      <c r="D20" s="82">
        <v>0</v>
      </c>
      <c r="E20" s="13">
        <v>21611.326733841528</v>
      </c>
      <c r="F20" s="82">
        <v>0</v>
      </c>
      <c r="G20" s="16">
        <f>VLOOKUP(A20,'NPV Analysis'!$A$9:$R$123,16)</f>
        <v>0</v>
      </c>
      <c r="H20" s="83">
        <f>VLOOKUP(A20,'LRP Tier Groupings'!$A$4:D129,3)</f>
        <v>0</v>
      </c>
      <c r="I20" s="16">
        <f>VLOOKUP(A20,'NPV Analysis'!$A$9:$R$123,2)</f>
        <v>6765203.9162931312</v>
      </c>
      <c r="J20" s="110">
        <f t="shared" si="0"/>
        <v>2</v>
      </c>
      <c r="K20" s="16">
        <f t="shared" si="1"/>
        <v>0</v>
      </c>
      <c r="L20" s="120">
        <v>84608.208014540302</v>
      </c>
      <c r="M20" s="84">
        <v>0</v>
      </c>
      <c r="N20" s="84">
        <v>0</v>
      </c>
      <c r="O20" s="16" t="str">
        <f>IF(N20=1,M20*Assumptions!$B$3,IF(N20=2,Assumptions!$C$3*M20,""))</f>
        <v/>
      </c>
      <c r="P20" s="16"/>
      <c r="Q20" s="16"/>
      <c r="R20" s="113" t="s">
        <v>247</v>
      </c>
      <c r="S20" s="116" t="str">
        <f t="shared" si="4"/>
        <v/>
      </c>
      <c r="T20" s="119" t="str">
        <f t="shared" si="2"/>
        <v>Update</v>
      </c>
      <c r="U20" s="128">
        <f t="shared" si="3"/>
        <v>0</v>
      </c>
    </row>
    <row r="21" spans="1:21" s="85" customFormat="1" ht="26.25" x14ac:dyDescent="0.4">
      <c r="A21" s="15" t="s">
        <v>27</v>
      </c>
      <c r="B21" s="16">
        <v>393108.64001539251</v>
      </c>
      <c r="C21" s="82">
        <v>34104</v>
      </c>
      <c r="D21" s="82">
        <v>5388645.5999999996</v>
      </c>
      <c r="E21" s="13">
        <v>11231033.849276671</v>
      </c>
      <c r="F21" s="82">
        <v>4391229.5999999996</v>
      </c>
      <c r="G21" s="16">
        <f>VLOOKUP(A21,'NPV Analysis'!$A$9:$R$123,16)</f>
        <v>62553.288301663619</v>
      </c>
      <c r="H21" s="83">
        <f>VLOOKUP(A21,'LRP Tier Groupings'!$A$4:D130,3)</f>
        <v>0</v>
      </c>
      <c r="I21" s="16">
        <f>VLOOKUP(A21,'NPV Analysis'!$A$9:$R$123,2)</f>
        <v>32364731.952993218</v>
      </c>
      <c r="J21" s="110">
        <f t="shared" si="0"/>
        <v>2</v>
      </c>
      <c r="K21" s="16">
        <f t="shared" si="1"/>
        <v>427212.64001539251</v>
      </c>
      <c r="L21" s="118">
        <v>57333.13</v>
      </c>
      <c r="M21" s="84">
        <v>0</v>
      </c>
      <c r="N21" s="84">
        <v>0</v>
      </c>
      <c r="O21" s="16" t="str">
        <f>IF(N21=1,M21*Assumptions!$B$3,IF(N21=2,Assumptions!$C$3*M21,""))</f>
        <v/>
      </c>
      <c r="P21" s="16"/>
      <c r="Q21" s="16"/>
      <c r="R21" s="113" t="s">
        <v>247</v>
      </c>
      <c r="S21" s="116" t="str">
        <f t="shared" si="4"/>
        <v/>
      </c>
      <c r="T21" s="119" t="str">
        <f t="shared" si="2"/>
        <v>Update</v>
      </c>
      <c r="U21" s="128">
        <f t="shared" si="3"/>
        <v>427212.64001539251</v>
      </c>
    </row>
    <row r="22" spans="1:21" s="85" customFormat="1" ht="26.25" x14ac:dyDescent="0.4">
      <c r="A22" s="15" t="s">
        <v>28</v>
      </c>
      <c r="B22" s="16">
        <v>4033860.0578655205</v>
      </c>
      <c r="C22" s="82">
        <v>177914.4</v>
      </c>
      <c r="D22" s="82">
        <v>1364812.8</v>
      </c>
      <c r="E22" s="13">
        <v>7178666.5484691011</v>
      </c>
      <c r="F22" s="82">
        <v>3425248.8</v>
      </c>
      <c r="G22" s="16">
        <f>VLOOKUP(A22,'NPV Analysis'!$A$9:$R$123,16)</f>
        <v>42502.570642642037</v>
      </c>
      <c r="H22" s="83">
        <f>VLOOKUP(A22,'LRP Tier Groupings'!$A$4:D131,3)</f>
        <v>0</v>
      </c>
      <c r="I22" s="16">
        <f>VLOOKUP(A22,'NPV Analysis'!$A$9:$R$123,2)</f>
        <v>49991605.964960091</v>
      </c>
      <c r="J22" s="110">
        <f t="shared" si="0"/>
        <v>2</v>
      </c>
      <c r="K22" s="16">
        <f t="shared" si="1"/>
        <v>4211774.4578655204</v>
      </c>
      <c r="L22" s="120">
        <v>136390.873672852</v>
      </c>
      <c r="M22" s="84">
        <v>0</v>
      </c>
      <c r="N22" s="84">
        <v>0</v>
      </c>
      <c r="O22" s="16" t="str">
        <f>IF(N22=1,M22*Assumptions!$B$3,IF(N22=2,Assumptions!$C$3*M22,""))</f>
        <v/>
      </c>
      <c r="P22" s="16"/>
      <c r="Q22" s="16"/>
      <c r="R22" s="113" t="s">
        <v>247</v>
      </c>
      <c r="S22" s="116" t="str">
        <f t="shared" si="4"/>
        <v/>
      </c>
      <c r="T22" s="119" t="str">
        <f t="shared" si="2"/>
        <v>Update</v>
      </c>
      <c r="U22" s="128">
        <f t="shared" si="3"/>
        <v>4211774.4578655204</v>
      </c>
    </row>
    <row r="23" spans="1:21" s="85" customFormat="1" ht="26.25" x14ac:dyDescent="0.4">
      <c r="A23" s="15" t="s">
        <v>29</v>
      </c>
      <c r="B23" s="16">
        <v>3601434.5483002104</v>
      </c>
      <c r="C23" s="82">
        <v>390052.8</v>
      </c>
      <c r="D23" s="82">
        <v>5741942.3999999994</v>
      </c>
      <c r="E23" s="13">
        <v>3990114.1425733496</v>
      </c>
      <c r="F23" s="82">
        <v>7911163.1999999993</v>
      </c>
      <c r="G23" s="16">
        <f>VLOOKUP(A23,'NPV Analysis'!$A$9:$R$123,16)</f>
        <v>1000097.6166678522</v>
      </c>
      <c r="H23" s="83">
        <f>VLOOKUP(A23,'LRP Tier Groupings'!$A$4:D132,3)</f>
        <v>0</v>
      </c>
      <c r="I23" s="16">
        <f>VLOOKUP(A23,'NPV Analysis'!$A$9:$R$123,2)</f>
        <v>50297495.639288969</v>
      </c>
      <c r="J23" s="110">
        <f t="shared" si="0"/>
        <v>2</v>
      </c>
      <c r="K23" s="16">
        <f t="shared" si="1"/>
        <v>3991487.3483002102</v>
      </c>
      <c r="L23" s="118">
        <v>70609.919999999998</v>
      </c>
      <c r="M23" s="84">
        <v>0</v>
      </c>
      <c r="N23" s="84">
        <v>0</v>
      </c>
      <c r="O23" s="16" t="str">
        <f>IF(N23=1,M23*Assumptions!$B$3,IF(N23=2,Assumptions!$C$3*M23,""))</f>
        <v/>
      </c>
      <c r="P23" s="16"/>
      <c r="Q23" s="16"/>
      <c r="R23" s="113" t="s">
        <v>247</v>
      </c>
      <c r="S23" s="116" t="str">
        <f t="shared" si="4"/>
        <v/>
      </c>
      <c r="T23" s="119" t="str">
        <f t="shared" si="2"/>
        <v>Update</v>
      </c>
      <c r="U23" s="128">
        <f t="shared" si="3"/>
        <v>3991487.3483002102</v>
      </c>
    </row>
    <row r="24" spans="1:21" s="85" customFormat="1" ht="26.25" x14ac:dyDescent="0.4">
      <c r="A24" s="15" t="s">
        <v>30</v>
      </c>
      <c r="B24" s="16">
        <v>4278559.8522538831</v>
      </c>
      <c r="C24" s="82">
        <v>730255.2</v>
      </c>
      <c r="D24" s="82">
        <v>6111717.5999999996</v>
      </c>
      <c r="E24" s="13">
        <v>7298573.1279556174</v>
      </c>
      <c r="F24" s="82">
        <v>12876256.799999999</v>
      </c>
      <c r="G24" s="16">
        <f>VLOOKUP(A24,'NPV Analysis'!$A$9:$R$123,16)</f>
        <v>0</v>
      </c>
      <c r="H24" s="83">
        <f>VLOOKUP(A24,'LRP Tier Groupings'!$A$4:D133,3)</f>
        <v>0</v>
      </c>
      <c r="I24" s="16">
        <f>VLOOKUP(A24,'NPV Analysis'!$A$9:$R$123,2)</f>
        <v>36772984.155561432</v>
      </c>
      <c r="J24" s="110">
        <f t="shared" si="0"/>
        <v>2</v>
      </c>
      <c r="K24" s="16">
        <f t="shared" si="1"/>
        <v>5008815.0522538833</v>
      </c>
      <c r="L24" s="118">
        <v>71817.289999999994</v>
      </c>
      <c r="M24" s="84">
        <v>0</v>
      </c>
      <c r="N24" s="84">
        <v>0</v>
      </c>
      <c r="O24" s="16" t="str">
        <f>IF(N24=1,M24*Assumptions!$B$3,IF(N24=2,Assumptions!$C$3*M24,""))</f>
        <v/>
      </c>
      <c r="P24" s="16"/>
      <c r="Q24" s="16"/>
      <c r="R24" s="113" t="s">
        <v>247</v>
      </c>
      <c r="S24" s="116" t="str">
        <f t="shared" si="4"/>
        <v/>
      </c>
      <c r="T24" s="119" t="str">
        <f t="shared" si="2"/>
        <v>Update</v>
      </c>
      <c r="U24" s="128">
        <f t="shared" si="3"/>
        <v>5008815.0522538833</v>
      </c>
    </row>
    <row r="25" spans="1:21" s="85" customFormat="1" ht="26.25" x14ac:dyDescent="0.4">
      <c r="A25" s="15" t="s">
        <v>31</v>
      </c>
      <c r="B25" s="16">
        <v>0</v>
      </c>
      <c r="C25" s="82">
        <v>0</v>
      </c>
      <c r="D25" s="82">
        <v>0</v>
      </c>
      <c r="E25" s="13">
        <v>40952.478155758778</v>
      </c>
      <c r="F25" s="82">
        <v>0</v>
      </c>
      <c r="G25" s="16">
        <f>VLOOKUP(A25,'NPV Analysis'!$A$9:$R$123,16)</f>
        <v>0</v>
      </c>
      <c r="H25" s="83">
        <f>VLOOKUP(A25,'LRP Tier Groupings'!$A$4:D134,3)</f>
        <v>0</v>
      </c>
      <c r="I25" s="16">
        <f>VLOOKUP(A25,'NPV Analysis'!$A$9:$R$123,2)</f>
        <v>10416603.172075387</v>
      </c>
      <c r="J25" s="110">
        <f t="shared" si="0"/>
        <v>2</v>
      </c>
      <c r="K25" s="16">
        <f t="shared" si="1"/>
        <v>0</v>
      </c>
      <c r="L25" s="120">
        <v>84608.208014540302</v>
      </c>
      <c r="M25" s="84">
        <v>0</v>
      </c>
      <c r="N25" s="84">
        <v>0</v>
      </c>
      <c r="O25" s="16" t="str">
        <f>IF(N25=1,M25*Assumptions!$B$3,IF(N25=2,Assumptions!$C$3*M25,""))</f>
        <v/>
      </c>
      <c r="P25" s="16"/>
      <c r="Q25" s="16"/>
      <c r="R25" s="113" t="s">
        <v>247</v>
      </c>
      <c r="S25" s="116" t="str">
        <f t="shared" si="4"/>
        <v/>
      </c>
      <c r="T25" s="119" t="str">
        <f t="shared" si="2"/>
        <v>Update</v>
      </c>
      <c r="U25" s="128">
        <f t="shared" si="3"/>
        <v>0</v>
      </c>
    </row>
    <row r="26" spans="1:21" s="85" customFormat="1" ht="26.25" x14ac:dyDescent="0.4">
      <c r="A26" s="15" t="s">
        <v>32</v>
      </c>
      <c r="B26" s="16">
        <v>139117.25599928986</v>
      </c>
      <c r="C26" s="82">
        <v>0</v>
      </c>
      <c r="D26" s="82">
        <v>576657.6</v>
      </c>
      <c r="E26" s="13">
        <v>6439932.8422237886</v>
      </c>
      <c r="F26" s="82">
        <v>1596614.4</v>
      </c>
      <c r="G26" s="16">
        <f>VLOOKUP(A26,'NPV Analysis'!$A$9:$R$123,16)</f>
        <v>857062.97554039373</v>
      </c>
      <c r="H26" s="83">
        <f>VLOOKUP(A26,'LRP Tier Groupings'!$A$4:D135,3)</f>
        <v>0</v>
      </c>
      <c r="I26" s="16">
        <f>VLOOKUP(A26,'NPV Analysis'!$A$9:$R$123,2)</f>
        <v>18340522.271238338</v>
      </c>
      <c r="J26" s="110">
        <f t="shared" si="0"/>
        <v>2</v>
      </c>
      <c r="K26" s="16">
        <f t="shared" si="1"/>
        <v>139117.25599928986</v>
      </c>
      <c r="L26" s="118">
        <f>82897+147325</f>
        <v>230222</v>
      </c>
      <c r="M26" s="84">
        <v>0</v>
      </c>
      <c r="N26" s="84">
        <v>0</v>
      </c>
      <c r="O26" s="16" t="str">
        <f>IF(N26=1,M26*Assumptions!$B$3,IF(N26=2,Assumptions!$C$3*M26,""))</f>
        <v/>
      </c>
      <c r="P26" s="16"/>
      <c r="Q26" s="16"/>
      <c r="R26" s="113" t="s">
        <v>247</v>
      </c>
      <c r="S26" s="116" t="str">
        <f t="shared" si="4"/>
        <v/>
      </c>
      <c r="T26" s="119" t="str">
        <f t="shared" si="2"/>
        <v>Update</v>
      </c>
      <c r="U26" s="128">
        <f t="shared" si="3"/>
        <v>139117.25599928986</v>
      </c>
    </row>
    <row r="27" spans="1:21" s="85" customFormat="1" ht="26.25" x14ac:dyDescent="0.4">
      <c r="A27" s="15" t="s">
        <v>33</v>
      </c>
      <c r="B27" s="16">
        <v>2081209.4166143481</v>
      </c>
      <c r="C27" s="82">
        <v>687878.4</v>
      </c>
      <c r="D27" s="82">
        <v>2774654.4</v>
      </c>
      <c r="E27" s="13">
        <v>14062295.928267729</v>
      </c>
      <c r="F27" s="82">
        <v>5345774.3999999994</v>
      </c>
      <c r="G27" s="16">
        <f>VLOOKUP(A27,'NPV Analysis'!$A$9:$R$123,16)</f>
        <v>430886.20939651091</v>
      </c>
      <c r="H27" s="83">
        <f>VLOOKUP(A27,'LRP Tier Groupings'!$A$4:D136,3)</f>
        <v>0</v>
      </c>
      <c r="I27" s="16">
        <f>VLOOKUP(A27,'NPV Analysis'!$A$9:$R$123,2)</f>
        <v>45551658.047024883</v>
      </c>
      <c r="J27" s="110">
        <f t="shared" si="0"/>
        <v>2</v>
      </c>
      <c r="K27" s="16">
        <f t="shared" si="1"/>
        <v>2769087.816614348</v>
      </c>
      <c r="L27" s="118">
        <v>73689.61</v>
      </c>
      <c r="M27" s="84">
        <v>0</v>
      </c>
      <c r="N27" s="84">
        <v>0</v>
      </c>
      <c r="O27" s="16" t="str">
        <f>IF(N27=1,M27*Assumptions!$B$3,IF(N27=2,Assumptions!$C$3*M27,""))</f>
        <v/>
      </c>
      <c r="P27" s="16"/>
      <c r="Q27" s="16"/>
      <c r="R27" s="113" t="s">
        <v>247</v>
      </c>
      <c r="S27" s="116" t="str">
        <f t="shared" si="4"/>
        <v/>
      </c>
      <c r="T27" s="119" t="str">
        <f t="shared" si="2"/>
        <v>Update</v>
      </c>
      <c r="U27" s="128">
        <f t="shared" si="3"/>
        <v>2769087.816614348</v>
      </c>
    </row>
    <row r="28" spans="1:21" s="85" customFormat="1" ht="26.25" x14ac:dyDescent="0.4">
      <c r="A28" s="15" t="s">
        <v>34</v>
      </c>
      <c r="B28" s="16">
        <v>21131681.20414038</v>
      </c>
      <c r="C28" s="82">
        <v>1647175.2</v>
      </c>
      <c r="D28" s="82">
        <v>28483353.599999998</v>
      </c>
      <c r="E28" s="13">
        <v>55131524.785789847</v>
      </c>
      <c r="F28" s="82">
        <v>42922617.600000001</v>
      </c>
      <c r="G28" s="16">
        <f>VLOOKUP(A28,'NPV Analysis'!$A$9:$R$123,16)</f>
        <v>5133899.6176890098</v>
      </c>
      <c r="H28" s="83">
        <f>VLOOKUP(A28,'LRP Tier Groupings'!$A$4:D137,3)</f>
        <v>0</v>
      </c>
      <c r="I28" s="16">
        <f>VLOOKUP(A28,'NPV Analysis'!$A$9:$R$123,2)</f>
        <v>253504758.72506675</v>
      </c>
      <c r="J28" s="110">
        <f t="shared" si="0"/>
        <v>2</v>
      </c>
      <c r="K28" s="16">
        <f t="shared" si="1"/>
        <v>22778856.404140379</v>
      </c>
      <c r="L28" s="118">
        <v>425682</v>
      </c>
      <c r="M28" s="84">
        <v>0</v>
      </c>
      <c r="N28" s="84">
        <v>0</v>
      </c>
      <c r="O28" s="16" t="str">
        <f>IF(N28=1,M28*Assumptions!$B$3,IF(N28=2,Assumptions!$C$3*M28,""))</f>
        <v/>
      </c>
      <c r="P28" s="16"/>
      <c r="Q28" s="16"/>
      <c r="R28" s="113" t="s">
        <v>247</v>
      </c>
      <c r="S28" s="116" t="str">
        <f t="shared" si="4"/>
        <v/>
      </c>
      <c r="T28" s="119" t="str">
        <f t="shared" si="2"/>
        <v>Update</v>
      </c>
      <c r="U28" s="128">
        <f t="shared" si="3"/>
        <v>22778856.404140379</v>
      </c>
    </row>
    <row r="29" spans="1:21" s="85" customFormat="1" ht="26.25" x14ac:dyDescent="0.4">
      <c r="A29" s="15" t="s">
        <v>35</v>
      </c>
      <c r="B29" s="16">
        <v>0</v>
      </c>
      <c r="C29" s="82">
        <v>0</v>
      </c>
      <c r="D29" s="82">
        <v>0</v>
      </c>
      <c r="E29" s="13">
        <v>0</v>
      </c>
      <c r="F29" s="82">
        <v>0</v>
      </c>
      <c r="G29" s="16">
        <f>VLOOKUP(A29,'NPV Analysis'!$A$9:$R$123,16)</f>
        <v>0</v>
      </c>
      <c r="H29" s="83">
        <f>VLOOKUP(A29,'LRP Tier Groupings'!$A$4:D138,3)</f>
        <v>0</v>
      </c>
      <c r="I29" s="16">
        <f>VLOOKUP(A29,'NPV Analysis'!$A$9:$R$123,2)</f>
        <v>0</v>
      </c>
      <c r="J29" s="110">
        <f t="shared" si="0"/>
        <v>2</v>
      </c>
      <c r="K29" s="16">
        <f t="shared" si="1"/>
        <v>0</v>
      </c>
      <c r="L29" s="118">
        <v>100683</v>
      </c>
      <c r="M29" s="84">
        <v>0</v>
      </c>
      <c r="N29" s="84">
        <v>0</v>
      </c>
      <c r="O29" s="16" t="str">
        <f>IF(N29=1,M29*Assumptions!$B$3,IF(N29=2,Assumptions!$C$3*M29,""))</f>
        <v/>
      </c>
      <c r="P29" s="16"/>
      <c r="Q29" s="16"/>
      <c r="R29" s="113" t="s">
        <v>247</v>
      </c>
      <c r="S29" s="116" t="str">
        <f t="shared" si="4"/>
        <v/>
      </c>
      <c r="T29" s="119" t="str">
        <f t="shared" si="2"/>
        <v>Update</v>
      </c>
      <c r="U29" s="128">
        <f t="shared" si="3"/>
        <v>0</v>
      </c>
    </row>
    <row r="30" spans="1:21" s="85" customFormat="1" ht="26.25" x14ac:dyDescent="0.4">
      <c r="A30" s="15" t="s">
        <v>123</v>
      </c>
      <c r="B30" s="16">
        <v>0</v>
      </c>
      <c r="C30" s="82">
        <v>0</v>
      </c>
      <c r="D30" s="82">
        <v>0</v>
      </c>
      <c r="E30" s="13">
        <v>0</v>
      </c>
      <c r="F30" s="82">
        <v>0</v>
      </c>
      <c r="G30" s="16">
        <f>VLOOKUP(A30,'NPV Analysis'!$A$9:$R$123,16)</f>
        <v>0</v>
      </c>
      <c r="H30" s="83">
        <f>VLOOKUP(A30,'LRP Tier Groupings'!$A$4:D139,3)</f>
        <v>1</v>
      </c>
      <c r="I30" s="16">
        <f>VLOOKUP(A30,'NPV Analysis'!$A$9:$R$123,2)</f>
        <v>4821314.9097395288</v>
      </c>
      <c r="J30" s="110">
        <f t="shared" si="0"/>
        <v>3</v>
      </c>
      <c r="K30" s="16">
        <f t="shared" si="1"/>
        <v>0</v>
      </c>
      <c r="L30" s="118">
        <v>53852.53</v>
      </c>
      <c r="M30" s="84">
        <v>0</v>
      </c>
      <c r="N30" s="84">
        <v>0</v>
      </c>
      <c r="O30" s="16" t="str">
        <f>IF(N30=1,M30*Assumptions!$B$3,IF(N30=2,Assumptions!$C$3*M30,""))</f>
        <v/>
      </c>
      <c r="P30" s="16"/>
      <c r="Q30" s="16"/>
      <c r="R30" s="113" t="s">
        <v>247</v>
      </c>
      <c r="S30" s="116" t="str">
        <f t="shared" si="4"/>
        <v/>
      </c>
      <c r="T30" s="119" t="str">
        <f t="shared" si="2"/>
        <v>Update</v>
      </c>
      <c r="U30" s="128">
        <f t="shared" si="3"/>
        <v>0</v>
      </c>
    </row>
    <row r="31" spans="1:21" s="85" customFormat="1" ht="26.25" x14ac:dyDescent="0.4">
      <c r="A31" s="15" t="s">
        <v>36</v>
      </c>
      <c r="B31" s="16">
        <v>367631.21906381496</v>
      </c>
      <c r="C31" s="82">
        <v>216657.6</v>
      </c>
      <c r="D31" s="82">
        <v>5043652.8</v>
      </c>
      <c r="E31" s="13">
        <v>8151002.0673301164</v>
      </c>
      <c r="F31" s="82">
        <v>3861436.8</v>
      </c>
      <c r="G31" s="16">
        <f>VLOOKUP(A31,'NPV Analysis'!$A$9:$R$123,16)</f>
        <v>0</v>
      </c>
      <c r="H31" s="83">
        <f>VLOOKUP(A31,'LRP Tier Groupings'!$A$4:D140,3)</f>
        <v>0</v>
      </c>
      <c r="I31" s="16">
        <f>VLOOKUP(A31,'NPV Analysis'!$A$9:$R$123,2)</f>
        <v>20687365.34047335</v>
      </c>
      <c r="J31" s="110">
        <f t="shared" si="0"/>
        <v>2</v>
      </c>
      <c r="K31" s="16">
        <f t="shared" si="1"/>
        <v>584288.81906381494</v>
      </c>
      <c r="L31" s="118">
        <v>37511</v>
      </c>
      <c r="M31" s="84">
        <v>0</v>
      </c>
      <c r="N31" s="84">
        <v>0</v>
      </c>
      <c r="O31" s="16" t="str">
        <f>IF(N31=1,M31*Assumptions!$B$3,IF(N31=2,Assumptions!$C$3*M31,""))</f>
        <v/>
      </c>
      <c r="P31" s="16"/>
      <c r="Q31" s="16"/>
      <c r="R31" s="113" t="s">
        <v>247</v>
      </c>
      <c r="S31" s="116" t="str">
        <f t="shared" si="4"/>
        <v/>
      </c>
      <c r="T31" s="119" t="str">
        <f t="shared" si="2"/>
        <v>Update</v>
      </c>
      <c r="U31" s="128">
        <f t="shared" si="3"/>
        <v>584288.81906381494</v>
      </c>
    </row>
    <row r="32" spans="1:21" s="85" customFormat="1" ht="26.25" x14ac:dyDescent="0.4">
      <c r="A32" s="15" t="s">
        <v>37</v>
      </c>
      <c r="B32" s="16">
        <v>7778757.4409800731</v>
      </c>
      <c r="C32" s="82">
        <v>0</v>
      </c>
      <c r="D32" s="82">
        <v>2059732.7999999998</v>
      </c>
      <c r="E32" s="13">
        <v>12185707.984640747</v>
      </c>
      <c r="F32" s="82">
        <v>5423486.3999999994</v>
      </c>
      <c r="G32" s="16">
        <f>VLOOKUP(A32,'NPV Analysis'!$A$9:$R$123,16)</f>
        <v>1407677.9610323028</v>
      </c>
      <c r="H32" s="83">
        <f>VLOOKUP(A32,'LRP Tier Groupings'!$A$4:D141,3)</f>
        <v>1</v>
      </c>
      <c r="I32" s="16">
        <f>VLOOKUP(A32,'NPV Analysis'!$A$9:$R$123,2)</f>
        <v>63462705.92821072</v>
      </c>
      <c r="J32" s="110">
        <f t="shared" si="0"/>
        <v>3</v>
      </c>
      <c r="K32" s="16">
        <f t="shared" si="1"/>
        <v>9838490.2409800738</v>
      </c>
      <c r="L32" s="118">
        <v>138155.76999999999</v>
      </c>
      <c r="M32" s="84">
        <v>180000</v>
      </c>
      <c r="N32" s="84">
        <v>1</v>
      </c>
      <c r="O32" s="16">
        <f>IF(N32=1,M32*Assumptions!$B$3,IF(N32=2,Assumptions!$C$3*M32,""))</f>
        <v>117000000</v>
      </c>
      <c r="P32" s="16">
        <v>160712000</v>
      </c>
      <c r="Q32" s="16"/>
      <c r="R32" s="114" t="s">
        <v>168</v>
      </c>
      <c r="S32" s="116">
        <f t="shared" si="4"/>
        <v>160712000</v>
      </c>
      <c r="T32" s="119" t="b">
        <f t="shared" si="2"/>
        <v>0</v>
      </c>
      <c r="U32" s="128">
        <f t="shared" si="3"/>
        <v>160712000</v>
      </c>
    </row>
    <row r="33" spans="1:21" s="85" customFormat="1" ht="26.25" x14ac:dyDescent="0.4">
      <c r="A33" s="15" t="s">
        <v>38</v>
      </c>
      <c r="B33" s="16">
        <v>622658.25725298736</v>
      </c>
      <c r="C33" s="82">
        <v>251956.8</v>
      </c>
      <c r="D33" s="82">
        <v>459033.59999999998</v>
      </c>
      <c r="E33" s="13">
        <v>3931907.6597304423</v>
      </c>
      <c r="F33" s="82">
        <v>9242515.1999999993</v>
      </c>
      <c r="G33" s="16">
        <f>VLOOKUP(A33,'NPV Analysis'!$A$9:$R$123,16)</f>
        <v>342687.80566923454</v>
      </c>
      <c r="H33" s="83">
        <f>VLOOKUP(A33,'LRP Tier Groupings'!$A$4:D142,3)</f>
        <v>0</v>
      </c>
      <c r="I33" s="16">
        <f>VLOOKUP(A33,'NPV Analysis'!$A$9:$R$123,2)</f>
        <v>33307550.862141948</v>
      </c>
      <c r="J33" s="110">
        <f t="shared" si="0"/>
        <v>2</v>
      </c>
      <c r="K33" s="16">
        <f t="shared" si="1"/>
        <v>874615.05725298729</v>
      </c>
      <c r="L33" s="118">
        <v>61792.6</v>
      </c>
      <c r="M33" s="84">
        <v>0</v>
      </c>
      <c r="N33" s="84">
        <v>0</v>
      </c>
      <c r="O33" s="16" t="str">
        <f>IF(N33=1,M33*Assumptions!$B$3,IF(N33=2,Assumptions!$C$3*M33,""))</f>
        <v/>
      </c>
      <c r="P33" s="16"/>
      <c r="Q33" s="16"/>
      <c r="R33" s="113" t="s">
        <v>247</v>
      </c>
      <c r="S33" s="116" t="str">
        <f t="shared" si="4"/>
        <v/>
      </c>
      <c r="T33" s="119" t="str">
        <f t="shared" si="2"/>
        <v>Update</v>
      </c>
      <c r="U33" s="128">
        <f t="shared" si="3"/>
        <v>874615.05725298729</v>
      </c>
    </row>
    <row r="34" spans="1:21" s="85" customFormat="1" ht="26.25" x14ac:dyDescent="0.4">
      <c r="A34" s="15" t="s">
        <v>39</v>
      </c>
      <c r="B34" s="16">
        <v>5414467.8909950778</v>
      </c>
      <c r="C34" s="82">
        <v>777324</v>
      </c>
      <c r="D34" s="82">
        <v>1925148</v>
      </c>
      <c r="E34" s="13">
        <v>2197764.2732776306</v>
      </c>
      <c r="F34" s="82">
        <v>9975408</v>
      </c>
      <c r="G34" s="16">
        <f>VLOOKUP(A34,'NPV Analysis'!$A$9:$R$123,16)</f>
        <v>3877307.5273132976</v>
      </c>
      <c r="H34" s="83">
        <f>VLOOKUP(A34,'LRP Tier Groupings'!$A$4:D143,3)</f>
        <v>0</v>
      </c>
      <c r="I34" s="16">
        <f>VLOOKUP(A34,'NPV Analysis'!$A$9:$R$123,2)</f>
        <v>30596761.854462072</v>
      </c>
      <c r="J34" s="110">
        <f t="shared" si="0"/>
        <v>2</v>
      </c>
      <c r="K34" s="16">
        <f t="shared" si="1"/>
        <v>6191791.8909950778</v>
      </c>
      <c r="L34" s="118">
        <v>81505.83</v>
      </c>
      <c r="M34" s="84">
        <v>0</v>
      </c>
      <c r="N34" s="84">
        <v>0</v>
      </c>
      <c r="O34" s="16" t="str">
        <f>IF(N34=1,M34*Assumptions!$B$3,IF(N34=2,Assumptions!$C$3*M34,""))</f>
        <v/>
      </c>
      <c r="P34" s="16"/>
      <c r="Q34" s="16"/>
      <c r="R34" s="113" t="s">
        <v>247</v>
      </c>
      <c r="S34" s="116" t="str">
        <f t="shared" si="4"/>
        <v/>
      </c>
      <c r="T34" s="119" t="str">
        <f t="shared" si="2"/>
        <v>Update</v>
      </c>
      <c r="U34" s="128">
        <f t="shared" si="3"/>
        <v>6191791.8909950778</v>
      </c>
    </row>
    <row r="35" spans="1:21" s="85" customFormat="1" ht="26.25" x14ac:dyDescent="0.4">
      <c r="A35" s="15" t="s">
        <v>40</v>
      </c>
      <c r="B35" s="16">
        <v>0</v>
      </c>
      <c r="C35" s="82">
        <v>0</v>
      </c>
      <c r="D35" s="82">
        <v>0</v>
      </c>
      <c r="E35" s="13">
        <v>11720622.940397516</v>
      </c>
      <c r="F35" s="82">
        <v>0</v>
      </c>
      <c r="G35" s="16">
        <f>VLOOKUP(A35,'NPV Analysis'!$A$9:$R$123,16)</f>
        <v>0</v>
      </c>
      <c r="H35" s="83">
        <f>VLOOKUP(A35,'LRP Tier Groupings'!$A$4:D144,3)</f>
        <v>0</v>
      </c>
      <c r="I35" s="16">
        <f>VLOOKUP(A35,'NPV Analysis'!$A$9:$R$123,2)</f>
        <v>12088295.045640303</v>
      </c>
      <c r="J35" s="110">
        <f t="shared" si="0"/>
        <v>2</v>
      </c>
      <c r="K35" s="16">
        <f t="shared" si="1"/>
        <v>0</v>
      </c>
      <c r="L35" s="118">
        <v>80275</v>
      </c>
      <c r="M35" s="84">
        <v>0</v>
      </c>
      <c r="N35" s="84">
        <v>0</v>
      </c>
      <c r="O35" s="16" t="str">
        <f>IF(N35=1,M35*Assumptions!$B$3,IF(N35=2,Assumptions!$C$3*M35,""))</f>
        <v/>
      </c>
      <c r="P35" s="16"/>
      <c r="Q35" s="16"/>
      <c r="R35" s="113" t="s">
        <v>247</v>
      </c>
      <c r="S35" s="116" t="str">
        <f t="shared" si="4"/>
        <v/>
      </c>
      <c r="T35" s="119" t="str">
        <f t="shared" si="2"/>
        <v>Update</v>
      </c>
      <c r="U35" s="128">
        <f t="shared" si="3"/>
        <v>0</v>
      </c>
    </row>
    <row r="36" spans="1:21" s="85" customFormat="1" ht="26.25" x14ac:dyDescent="0.4">
      <c r="A36" s="15" t="s">
        <v>41</v>
      </c>
      <c r="B36" s="16">
        <v>929679.5496303672</v>
      </c>
      <c r="C36" s="82">
        <v>971395.2</v>
      </c>
      <c r="D36" s="82">
        <v>603379.19999999995</v>
      </c>
      <c r="E36" s="13">
        <v>5287112.9085081443</v>
      </c>
      <c r="F36" s="82">
        <v>8818003.1999999993</v>
      </c>
      <c r="G36" s="16">
        <f>VLOOKUP(A36,'NPV Analysis'!$A$9:$R$123,16)</f>
        <v>4245077.2955356231</v>
      </c>
      <c r="H36" s="83">
        <f>VLOOKUP(A36,'LRP Tier Groupings'!$A$4:D145,3)</f>
        <v>0</v>
      </c>
      <c r="I36" s="16">
        <f>VLOOKUP(A36,'NPV Analysis'!$A$9:$R$123,2)</f>
        <v>25435287.755759232</v>
      </c>
      <c r="J36" s="110">
        <f t="shared" si="0"/>
        <v>2</v>
      </c>
      <c r="K36" s="16">
        <f t="shared" si="1"/>
        <v>1901074.7496303672</v>
      </c>
      <c r="L36" s="118">
        <v>102295.17</v>
      </c>
      <c r="M36" s="84">
        <v>0</v>
      </c>
      <c r="N36" s="84">
        <v>0</v>
      </c>
      <c r="O36" s="16" t="str">
        <f>IF(N36=1,M36*Assumptions!$B$3,IF(N36=2,Assumptions!$C$3*M36,""))</f>
        <v/>
      </c>
      <c r="P36" s="16"/>
      <c r="Q36" s="16"/>
      <c r="R36" s="113" t="s">
        <v>247</v>
      </c>
      <c r="S36" s="116" t="str">
        <f t="shared" si="4"/>
        <v/>
      </c>
      <c r="T36" s="119" t="str">
        <f t="shared" si="2"/>
        <v>Update</v>
      </c>
      <c r="U36" s="128">
        <f t="shared" si="3"/>
        <v>1901074.7496303672</v>
      </c>
    </row>
    <row r="37" spans="1:21" s="85" customFormat="1" ht="26.25" x14ac:dyDescent="0.4">
      <c r="A37" s="15" t="s">
        <v>42</v>
      </c>
      <c r="B37" s="16">
        <v>334732.92051517131</v>
      </c>
      <c r="C37" s="82">
        <v>0</v>
      </c>
      <c r="D37" s="82">
        <v>83956.800000000003</v>
      </c>
      <c r="E37" s="13">
        <v>2131073.486909972</v>
      </c>
      <c r="F37" s="82">
        <v>1969958.4</v>
      </c>
      <c r="G37" s="16">
        <f>VLOOKUP(A37,'NPV Analysis'!$A$9:$R$123,16)</f>
        <v>0</v>
      </c>
      <c r="H37" s="83">
        <f>VLOOKUP(A37,'LRP Tier Groupings'!$A$4:D146,3)</f>
        <v>1</v>
      </c>
      <c r="I37" s="16">
        <f>VLOOKUP(A37,'NPV Analysis'!$A$9:$R$123,2)</f>
        <v>21660918.048535433</v>
      </c>
      <c r="J37" s="110">
        <f t="shared" si="0"/>
        <v>3</v>
      </c>
      <c r="K37" s="16">
        <f t="shared" si="1"/>
        <v>418689.7205151713</v>
      </c>
      <c r="L37" s="118">
        <v>38134.432570790603</v>
      </c>
      <c r="M37" s="84">
        <v>0</v>
      </c>
      <c r="N37" s="84">
        <v>0</v>
      </c>
      <c r="O37" s="16" t="str">
        <f>IF(N37=1,M37*Assumptions!$B$3,IF(N37=2,Assumptions!$C$3*M37,""))</f>
        <v/>
      </c>
      <c r="P37" s="16"/>
      <c r="Q37" s="16"/>
      <c r="R37" s="113" t="s">
        <v>247</v>
      </c>
      <c r="S37" s="116" t="str">
        <f t="shared" si="4"/>
        <v/>
      </c>
      <c r="T37" s="119" t="str">
        <f t="shared" si="2"/>
        <v>Update</v>
      </c>
      <c r="U37" s="128">
        <f t="shared" si="3"/>
        <v>418689.7205151713</v>
      </c>
    </row>
    <row r="38" spans="1:21" s="85" customFormat="1" ht="26.25" x14ac:dyDescent="0.4">
      <c r="A38" s="15" t="s">
        <v>43</v>
      </c>
      <c r="B38" s="16">
        <v>136574.47203087155</v>
      </c>
      <c r="C38" s="82">
        <v>627921.6</v>
      </c>
      <c r="D38" s="82">
        <v>5328866.3999999994</v>
      </c>
      <c r="E38" s="13">
        <v>8821291.6279190034</v>
      </c>
      <c r="F38" s="82">
        <v>13710043.199999999</v>
      </c>
      <c r="G38" s="16">
        <f>VLOOKUP(A38,'NPV Analysis'!$A$9:$R$123,16)</f>
        <v>0</v>
      </c>
      <c r="H38" s="83">
        <f>VLOOKUP(A38,'LRP Tier Groupings'!$A$4:D147,3)</f>
        <v>1</v>
      </c>
      <c r="I38" s="16">
        <f>VLOOKUP(A38,'NPV Analysis'!$A$9:$R$123,2)</f>
        <v>30442410.876842692</v>
      </c>
      <c r="J38" s="110">
        <f t="shared" si="0"/>
        <v>3</v>
      </c>
      <c r="K38" s="16">
        <f t="shared" si="1"/>
        <v>6093362.4720308706</v>
      </c>
      <c r="L38" s="118">
        <v>67355.08</v>
      </c>
      <c r="M38" s="84">
        <v>85000</v>
      </c>
      <c r="N38" s="84">
        <v>1</v>
      </c>
      <c r="O38" s="16">
        <f>IF(N38=1,M38*Assumptions!$B$3,IF(N38=2,Assumptions!$C$3*M38,""))</f>
        <v>55250000</v>
      </c>
      <c r="P38" s="16"/>
      <c r="Q38" s="16"/>
      <c r="R38" s="113" t="s">
        <v>247</v>
      </c>
      <c r="S38" s="116" t="str">
        <f t="shared" si="4"/>
        <v/>
      </c>
      <c r="T38" s="119" t="str">
        <f t="shared" si="2"/>
        <v>Update</v>
      </c>
      <c r="U38" s="128">
        <f t="shared" si="3"/>
        <v>6093362.4720308706</v>
      </c>
    </row>
    <row r="39" spans="1:21" s="85" customFormat="1" ht="26.25" x14ac:dyDescent="0.4">
      <c r="A39" s="15" t="s">
        <v>44</v>
      </c>
      <c r="B39" s="16">
        <v>574795.41503881256</v>
      </c>
      <c r="C39" s="82">
        <v>3956196</v>
      </c>
      <c r="D39" s="82">
        <v>18766096.800000001</v>
      </c>
      <c r="E39" s="13">
        <v>17012858.583247192</v>
      </c>
      <c r="F39" s="82">
        <v>27810458.399999999</v>
      </c>
      <c r="G39" s="16">
        <f>VLOOKUP(A39,'NPV Analysis'!$A$9:$R$123,16)</f>
        <v>1543286.4104341979</v>
      </c>
      <c r="H39" s="83">
        <f>VLOOKUP(A39,'LRP Tier Groupings'!$A$4:D148,3)</f>
        <v>0</v>
      </c>
      <c r="I39" s="16">
        <f>VLOOKUP(A39,'NPV Analysis'!$A$9:$R$123,2)</f>
        <v>81248246.99688977</v>
      </c>
      <c r="J39" s="110">
        <f t="shared" si="0"/>
        <v>2</v>
      </c>
      <c r="K39" s="16">
        <f t="shared" si="1"/>
        <v>4530991.4150388129</v>
      </c>
      <c r="L39" s="118">
        <v>173406</v>
      </c>
      <c r="M39" s="84">
        <v>0</v>
      </c>
      <c r="N39" s="84">
        <v>0</v>
      </c>
      <c r="O39" s="16" t="str">
        <f>IF(N39=1,M39*Assumptions!$B$3,IF(N39=2,Assumptions!$C$3*M39,""))</f>
        <v/>
      </c>
      <c r="P39" s="16"/>
      <c r="Q39" s="16"/>
      <c r="R39" s="113" t="s">
        <v>247</v>
      </c>
      <c r="S39" s="116" t="str">
        <f t="shared" si="4"/>
        <v/>
      </c>
      <c r="T39" s="119" t="str">
        <f t="shared" si="2"/>
        <v>Update</v>
      </c>
      <c r="U39" s="128">
        <f t="shared" si="3"/>
        <v>4530991.4150388129</v>
      </c>
    </row>
    <row r="40" spans="1:21" s="85" customFormat="1" ht="26.25" x14ac:dyDescent="0.4">
      <c r="A40" s="15" t="s">
        <v>45</v>
      </c>
      <c r="B40" s="16">
        <v>53117.915832233259</v>
      </c>
      <c r="C40" s="82">
        <v>672100.79999999993</v>
      </c>
      <c r="D40" s="82">
        <v>3204940.8</v>
      </c>
      <c r="E40" s="13">
        <v>4111399.9075959735</v>
      </c>
      <c r="F40" s="82">
        <v>13704760.799999999</v>
      </c>
      <c r="G40" s="16">
        <f>VLOOKUP(A40,'NPV Analysis'!$A$9:$R$123,16)</f>
        <v>0</v>
      </c>
      <c r="H40" s="83">
        <f>VLOOKUP(A40,'LRP Tier Groupings'!$A$4:D149,3)</f>
        <v>0</v>
      </c>
      <c r="I40" s="16">
        <f>VLOOKUP(A40,'NPV Analysis'!$A$9:$R$123,2)</f>
        <v>24659215.860593848</v>
      </c>
      <c r="J40" s="110">
        <f t="shared" si="0"/>
        <v>2</v>
      </c>
      <c r="K40" s="16">
        <f t="shared" si="1"/>
        <v>725218.7158322332</v>
      </c>
      <c r="L40" s="118">
        <v>70233.990000000005</v>
      </c>
      <c r="M40" s="84">
        <v>0</v>
      </c>
      <c r="N40" s="84">
        <v>0</v>
      </c>
      <c r="O40" s="16" t="str">
        <f>IF(N40=1,M40*Assumptions!$B$3,IF(N40=2,Assumptions!$C$3*M40,""))</f>
        <v/>
      </c>
      <c r="P40" s="16"/>
      <c r="Q40" s="16"/>
      <c r="R40" s="113" t="s">
        <v>247</v>
      </c>
      <c r="S40" s="116" t="str">
        <f t="shared" si="4"/>
        <v/>
      </c>
      <c r="T40" s="119" t="str">
        <f t="shared" si="2"/>
        <v>Update</v>
      </c>
      <c r="U40" s="128">
        <f t="shared" si="3"/>
        <v>725218.7158322332</v>
      </c>
    </row>
    <row r="41" spans="1:21" s="85" customFormat="1" ht="26.25" x14ac:dyDescent="0.4">
      <c r="A41" s="15" t="s">
        <v>46</v>
      </c>
      <c r="B41" s="16">
        <v>6405631.5106386561</v>
      </c>
      <c r="C41" s="82">
        <v>0</v>
      </c>
      <c r="D41" s="82">
        <v>8151273.5999999996</v>
      </c>
      <c r="E41" s="13">
        <v>66003829.319085285</v>
      </c>
      <c r="F41" s="82">
        <v>21980356.800000001</v>
      </c>
      <c r="G41" s="16">
        <f>VLOOKUP(A41,'NPV Analysis'!$A$9:$R$123,16)</f>
        <v>6731329.1542956708</v>
      </c>
      <c r="H41" s="83">
        <f>VLOOKUP(A41,'LRP Tier Groupings'!$A$4:D150,3)</f>
        <v>0</v>
      </c>
      <c r="I41" s="16">
        <f>VLOOKUP(A41,'NPV Analysis'!$A$9:$R$123,2)</f>
        <v>133908869.10184513</v>
      </c>
      <c r="J41" s="110">
        <f t="shared" si="0"/>
        <v>2</v>
      </c>
      <c r="K41" s="16">
        <f t="shared" ref="K41:K68" si="5">IF(J41=1,B41,IF(J41=2,SUM(B41:C41),IF(J41=3,SUM(B41:D41),IF(J41=4,SUM(B41:E41),IF(J41=5,SUM(B41:F41),IF(J41=6,SUM(B41:G41),0))))))</f>
        <v>6405631.5106386561</v>
      </c>
      <c r="L41" s="118">
        <v>348329</v>
      </c>
      <c r="M41" s="84">
        <v>0</v>
      </c>
      <c r="N41" s="84">
        <v>0</v>
      </c>
      <c r="O41" s="16" t="str">
        <f>IF(N41=1,M41*Assumptions!$B$3,IF(N41=2,Assumptions!$C$3*M41,""))</f>
        <v/>
      </c>
      <c r="P41" s="16"/>
      <c r="Q41" s="16"/>
      <c r="R41" s="113" t="s">
        <v>247</v>
      </c>
      <c r="S41" s="116" t="str">
        <f t="shared" si="4"/>
        <v/>
      </c>
      <c r="T41" s="119" t="str">
        <f t="shared" ref="T41:T72" si="6">IF(R41="yes",K41=0,"Update")</f>
        <v>Update</v>
      </c>
      <c r="U41" s="128">
        <f t="shared" si="3"/>
        <v>6405631.5106386561</v>
      </c>
    </row>
    <row r="42" spans="1:21" s="85" customFormat="1" ht="26.25" x14ac:dyDescent="0.4">
      <c r="A42" s="15" t="s">
        <v>47</v>
      </c>
      <c r="B42" s="16">
        <v>1409397.8676928568</v>
      </c>
      <c r="C42" s="82">
        <v>340159.2</v>
      </c>
      <c r="D42" s="82">
        <v>4700126.3999999994</v>
      </c>
      <c r="E42" s="13">
        <v>9412902.035516005</v>
      </c>
      <c r="F42" s="82">
        <v>3023112</v>
      </c>
      <c r="G42" s="16">
        <f>VLOOKUP(A42,'NPV Analysis'!$A$9:$R$123,16)</f>
        <v>605067.53631960391</v>
      </c>
      <c r="H42" s="83">
        <f>VLOOKUP(A42,'LRP Tier Groupings'!$A$4:D151,3)</f>
        <v>0</v>
      </c>
      <c r="I42" s="16">
        <f>VLOOKUP(A42,'NPV Analysis'!$A$9:$R$123,2)</f>
        <v>21952605.303398244</v>
      </c>
      <c r="J42" s="110">
        <f t="shared" si="0"/>
        <v>2</v>
      </c>
      <c r="K42" s="16">
        <f t="shared" si="5"/>
        <v>1749557.0676928568</v>
      </c>
      <c r="L42" s="118">
        <v>61578</v>
      </c>
      <c r="M42" s="84">
        <v>0</v>
      </c>
      <c r="N42" s="84">
        <v>0</v>
      </c>
      <c r="O42" s="16" t="str">
        <f>IF(N42=1,M42*Assumptions!$B$3,IF(N42=2,Assumptions!$C$3*M42,""))</f>
        <v/>
      </c>
      <c r="P42" s="16"/>
      <c r="Q42" s="16"/>
      <c r="R42" s="113" t="s">
        <v>247</v>
      </c>
      <c r="S42" s="116" t="str">
        <f t="shared" si="4"/>
        <v/>
      </c>
      <c r="T42" s="119" t="str">
        <f t="shared" si="6"/>
        <v>Update</v>
      </c>
      <c r="U42" s="128">
        <f t="shared" si="3"/>
        <v>1749557.0676928568</v>
      </c>
    </row>
    <row r="43" spans="1:21" s="85" customFormat="1" ht="26.25" x14ac:dyDescent="0.4">
      <c r="A43" s="15" t="s">
        <v>48</v>
      </c>
      <c r="B43" s="16">
        <v>4443079.5716582164</v>
      </c>
      <c r="C43" s="82">
        <v>0</v>
      </c>
      <c r="D43" s="82">
        <v>1671904.8</v>
      </c>
      <c r="E43" s="13">
        <v>3616094.5238430225</v>
      </c>
      <c r="F43" s="82">
        <v>7557463.1999999993</v>
      </c>
      <c r="G43" s="16">
        <f>VLOOKUP(A43,'NPV Analysis'!$A$9:$R$123,16)</f>
        <v>1376067.1382538206</v>
      </c>
      <c r="H43" s="83">
        <f>VLOOKUP(A43,'LRP Tier Groupings'!$A$4:D152,3)</f>
        <v>0</v>
      </c>
      <c r="I43" s="16">
        <f>VLOOKUP(A43,'NPV Analysis'!$A$9:$R$123,2)</f>
        <v>49510825.921240851</v>
      </c>
      <c r="J43" s="110">
        <f t="shared" si="0"/>
        <v>2</v>
      </c>
      <c r="K43" s="16">
        <f t="shared" si="5"/>
        <v>4443079.5716582164</v>
      </c>
      <c r="L43" s="118">
        <v>72149.53</v>
      </c>
      <c r="M43" s="84">
        <v>0</v>
      </c>
      <c r="N43" s="84">
        <v>0</v>
      </c>
      <c r="O43" s="16" t="str">
        <f>IF(N43=1,M43*Assumptions!$B$3,IF(N43=2,Assumptions!$C$3*M43,""))</f>
        <v/>
      </c>
      <c r="P43" s="16"/>
      <c r="Q43" s="16"/>
      <c r="R43" s="113" t="s">
        <v>247</v>
      </c>
      <c r="S43" s="116" t="str">
        <f t="shared" si="4"/>
        <v/>
      </c>
      <c r="T43" s="119" t="str">
        <f t="shared" si="6"/>
        <v>Update</v>
      </c>
      <c r="U43" s="128">
        <f t="shared" si="3"/>
        <v>4443079.5716582164</v>
      </c>
    </row>
    <row r="44" spans="1:21" s="85" customFormat="1" ht="26.25" x14ac:dyDescent="0.4">
      <c r="A44" s="15" t="s">
        <v>49</v>
      </c>
      <c r="B44" s="16">
        <v>457533.46314451023</v>
      </c>
      <c r="C44" s="82">
        <v>303832.8</v>
      </c>
      <c r="D44" s="82">
        <v>558324</v>
      </c>
      <c r="E44" s="13">
        <v>7686429.2910727356</v>
      </c>
      <c r="F44" s="82">
        <v>6731661.5999999996</v>
      </c>
      <c r="G44" s="16">
        <f>VLOOKUP(A44,'NPV Analysis'!$A$9:$R$123,16)</f>
        <v>97908.149408450743</v>
      </c>
      <c r="H44" s="83">
        <f>VLOOKUP(A44,'LRP Tier Groupings'!$A$4:D153,3)</f>
        <v>0</v>
      </c>
      <c r="I44" s="16">
        <f>VLOOKUP(A44,'NPV Analysis'!$A$9:$R$123,2)</f>
        <v>20065286.688980516</v>
      </c>
      <c r="J44" s="110">
        <f t="shared" si="0"/>
        <v>2</v>
      </c>
      <c r="K44" s="16">
        <f t="shared" si="5"/>
        <v>761366.26314451022</v>
      </c>
      <c r="L44" s="118">
        <v>55300.6</v>
      </c>
      <c r="M44" s="84">
        <v>0</v>
      </c>
      <c r="N44" s="84">
        <v>0</v>
      </c>
      <c r="O44" s="16" t="str">
        <f>IF(N44=1,M44*Assumptions!$B$3,IF(N44=2,Assumptions!$C$3*M44,""))</f>
        <v/>
      </c>
      <c r="P44" s="16"/>
      <c r="Q44" s="16"/>
      <c r="R44" s="113" t="s">
        <v>247</v>
      </c>
      <c r="S44" s="116" t="str">
        <f t="shared" si="4"/>
        <v/>
      </c>
      <c r="T44" s="119" t="str">
        <f t="shared" si="6"/>
        <v>Update</v>
      </c>
      <c r="U44" s="128">
        <f t="shared" si="3"/>
        <v>761366.26314451022</v>
      </c>
    </row>
    <row r="45" spans="1:21" s="85" customFormat="1" ht="26.25" x14ac:dyDescent="0.4">
      <c r="A45" s="15" t="s">
        <v>50</v>
      </c>
      <c r="B45" s="16">
        <v>6386480.0159988198</v>
      </c>
      <c r="C45" s="82">
        <v>0</v>
      </c>
      <c r="D45" s="82">
        <v>509570.39999999997</v>
      </c>
      <c r="E45" s="13">
        <v>24078725.098458607</v>
      </c>
      <c r="F45" s="82">
        <v>13296957.6</v>
      </c>
      <c r="G45" s="16">
        <f>VLOOKUP(A45,'NPV Analysis'!$A$9:$R$123,16)</f>
        <v>2999438.8379551168</v>
      </c>
      <c r="H45" s="83">
        <f>VLOOKUP(A45,'LRP Tier Groupings'!$A$4:D154,3)</f>
        <v>1</v>
      </c>
      <c r="I45" s="16">
        <f>VLOOKUP(A45,'NPV Analysis'!$A$9:$R$123,2)</f>
        <v>52895656.406676315</v>
      </c>
      <c r="J45" s="110">
        <f t="shared" si="0"/>
        <v>3</v>
      </c>
      <c r="K45" s="16">
        <f t="shared" si="5"/>
        <v>6896050.4159988202</v>
      </c>
      <c r="L45" s="118">
        <v>138750.9</v>
      </c>
      <c r="M45" s="84">
        <v>180000</v>
      </c>
      <c r="N45" s="84">
        <v>1</v>
      </c>
      <c r="O45" s="16">
        <f>IF(N45=1,M45*Assumptions!$B$3,IF(N45=2,Assumptions!$C$3*M45,""))</f>
        <v>117000000</v>
      </c>
      <c r="P45" s="16">
        <v>35687000</v>
      </c>
      <c r="Q45" s="16"/>
      <c r="R45" s="114" t="s">
        <v>160</v>
      </c>
      <c r="S45" s="116">
        <f t="shared" si="4"/>
        <v>35687000</v>
      </c>
      <c r="T45" s="119" t="b">
        <f t="shared" si="6"/>
        <v>0</v>
      </c>
      <c r="U45" s="128">
        <f t="shared" si="3"/>
        <v>35687000</v>
      </c>
    </row>
    <row r="46" spans="1:21" s="85" customFormat="1" ht="26.25" x14ac:dyDescent="0.4">
      <c r="A46" s="15" t="s">
        <v>51</v>
      </c>
      <c r="B46" s="16">
        <v>0</v>
      </c>
      <c r="C46" s="82">
        <v>0</v>
      </c>
      <c r="D46" s="82">
        <v>125402.4</v>
      </c>
      <c r="E46" s="13">
        <v>0</v>
      </c>
      <c r="F46" s="82">
        <v>151077.6</v>
      </c>
      <c r="G46" s="16">
        <f>VLOOKUP(A46,'NPV Analysis'!$A$9:$R$123,16)</f>
        <v>91762.975755546897</v>
      </c>
      <c r="H46" s="83">
        <f>VLOOKUP(A46,'LRP Tier Groupings'!$A$4:D155,3)</f>
        <v>0</v>
      </c>
      <c r="I46" s="16">
        <f>VLOOKUP(A46,'NPV Analysis'!$A$9:$R$123,2)</f>
        <v>6240455.7049596896</v>
      </c>
      <c r="J46" s="110">
        <f t="shared" si="0"/>
        <v>2</v>
      </c>
      <c r="K46" s="16">
        <f t="shared" si="5"/>
        <v>0</v>
      </c>
      <c r="L46" s="120">
        <v>123100.13094874901</v>
      </c>
      <c r="M46" s="84">
        <v>0</v>
      </c>
      <c r="N46" s="84">
        <v>0</v>
      </c>
      <c r="O46" s="16" t="str">
        <f>IF(N46=1,M46*Assumptions!$B$3,IF(N46=2,Assumptions!$C$3*M46,""))</f>
        <v/>
      </c>
      <c r="P46" s="16"/>
      <c r="Q46" s="16"/>
      <c r="R46" s="113" t="s">
        <v>247</v>
      </c>
      <c r="S46" s="116" t="str">
        <f t="shared" si="4"/>
        <v/>
      </c>
      <c r="T46" s="119" t="str">
        <f t="shared" si="6"/>
        <v>Update</v>
      </c>
      <c r="U46" s="128">
        <f t="shared" si="3"/>
        <v>0</v>
      </c>
    </row>
    <row r="47" spans="1:21" s="85" customFormat="1" ht="26.25" x14ac:dyDescent="0.4">
      <c r="A47" s="15" t="s">
        <v>125</v>
      </c>
      <c r="B47" s="16">
        <v>0</v>
      </c>
      <c r="C47" s="82">
        <v>0</v>
      </c>
      <c r="D47" s="82">
        <v>0</v>
      </c>
      <c r="E47" s="13">
        <v>0</v>
      </c>
      <c r="F47" s="82">
        <v>0</v>
      </c>
      <c r="G47" s="16">
        <f>VLOOKUP(A47,'NPV Analysis'!$A$9:$R$123,16)</f>
        <v>0</v>
      </c>
      <c r="H47" s="83">
        <f>VLOOKUP(A47,'LRP Tier Groupings'!$A$4:D156,3)</f>
        <v>1</v>
      </c>
      <c r="I47" s="16">
        <f>VLOOKUP(A47,'NPV Analysis'!$A$9:$R$123,2)</f>
        <v>0</v>
      </c>
      <c r="J47" s="110">
        <f t="shared" si="0"/>
        <v>3</v>
      </c>
      <c r="K47" s="16">
        <f t="shared" si="5"/>
        <v>0</v>
      </c>
      <c r="L47" s="120">
        <v>266081.20372804702</v>
      </c>
      <c r="M47" s="84">
        <v>0</v>
      </c>
      <c r="N47" s="84">
        <v>0</v>
      </c>
      <c r="O47" s="16" t="str">
        <f>IF(N47=1,M47*Assumptions!$B$3,IF(N47=2,Assumptions!$C$3*M47,""))</f>
        <v/>
      </c>
      <c r="P47" s="16"/>
      <c r="Q47" s="16"/>
      <c r="R47" s="113" t="s">
        <v>247</v>
      </c>
      <c r="S47" s="116" t="str">
        <f t="shared" si="4"/>
        <v/>
      </c>
      <c r="T47" s="119" t="str">
        <f t="shared" si="6"/>
        <v>Update</v>
      </c>
      <c r="U47" s="128">
        <f t="shared" si="3"/>
        <v>0</v>
      </c>
    </row>
    <row r="48" spans="1:21" s="85" customFormat="1" ht="26.25" x14ac:dyDescent="0.4">
      <c r="A48" s="15" t="s">
        <v>52</v>
      </c>
      <c r="B48" s="16">
        <v>2704704.2229321138</v>
      </c>
      <c r="C48" s="82">
        <v>2916969.6</v>
      </c>
      <c r="D48" s="82">
        <v>214411.19999999998</v>
      </c>
      <c r="E48" s="13">
        <v>15042327.035914814</v>
      </c>
      <c r="F48" s="82">
        <v>10927725.6</v>
      </c>
      <c r="G48" s="16">
        <f>VLOOKUP(A48,'NPV Analysis'!$A$9:$R$123,16)</f>
        <v>93353.418483438436</v>
      </c>
      <c r="H48" s="83">
        <f>VLOOKUP(A48,'LRP Tier Groupings'!$A$4:D157,3)</f>
        <v>1</v>
      </c>
      <c r="I48" s="16">
        <f>VLOOKUP(A48,'NPV Analysis'!$A$9:$R$123,2)</f>
        <v>54049005.819063373</v>
      </c>
      <c r="J48" s="110">
        <f t="shared" si="0"/>
        <v>3</v>
      </c>
      <c r="K48" s="16">
        <f t="shared" si="5"/>
        <v>5836085.0229321141</v>
      </c>
      <c r="L48" s="120">
        <v>85368.741648828407</v>
      </c>
      <c r="M48" s="84">
        <v>0</v>
      </c>
      <c r="N48" s="84">
        <v>0</v>
      </c>
      <c r="O48" s="16" t="str">
        <f>IF(N48=1,M48*Assumptions!$B$3,IF(N48=2,Assumptions!$C$3*M48,""))</f>
        <v/>
      </c>
      <c r="P48" s="16"/>
      <c r="Q48" s="16"/>
      <c r="R48" s="113" t="s">
        <v>247</v>
      </c>
      <c r="S48" s="116" t="str">
        <f t="shared" si="4"/>
        <v/>
      </c>
      <c r="T48" s="119" t="str">
        <f t="shared" si="6"/>
        <v>Update</v>
      </c>
      <c r="U48" s="128">
        <f t="shared" si="3"/>
        <v>5836085.0229321141</v>
      </c>
    </row>
    <row r="49" spans="1:21" s="85" customFormat="1" ht="26.25" x14ac:dyDescent="0.4">
      <c r="A49" s="15" t="s">
        <v>0</v>
      </c>
      <c r="B49" s="16">
        <v>1967158.0253933624</v>
      </c>
      <c r="C49" s="82">
        <v>890196</v>
      </c>
      <c r="D49" s="82">
        <v>7342682.3999999994</v>
      </c>
      <c r="E49" s="13">
        <v>15696323.788680332</v>
      </c>
      <c r="F49" s="82">
        <v>11497096.799999999</v>
      </c>
      <c r="G49" s="16">
        <f>VLOOKUP(A49,'NPV Analysis'!$A$9:$R$123,16)</f>
        <v>2050984.1962454545</v>
      </c>
      <c r="H49" s="83">
        <f>VLOOKUP(A49,'LRP Tier Groupings'!$A$4:D158,3)</f>
        <v>1</v>
      </c>
      <c r="I49" s="16">
        <f>VLOOKUP(A49,'NPV Analysis'!$A$9:$R$123,2)</f>
        <v>50107696.224387378</v>
      </c>
      <c r="J49" s="110">
        <f t="shared" si="0"/>
        <v>3</v>
      </c>
      <c r="K49" s="16">
        <f t="shared" si="5"/>
        <v>10200036.425393362</v>
      </c>
      <c r="L49" s="118">
        <v>161147.32999999999</v>
      </c>
      <c r="M49" s="84">
        <v>0</v>
      </c>
      <c r="N49" s="84">
        <v>0</v>
      </c>
      <c r="O49" s="16" t="str">
        <f>IF(N49=1,M49*Assumptions!$B$3,IF(N49=2,Assumptions!$C$3*M49,""))</f>
        <v/>
      </c>
      <c r="P49" s="16"/>
      <c r="Q49" s="16"/>
      <c r="R49" s="113" t="s">
        <v>247</v>
      </c>
      <c r="S49" s="116" t="str">
        <f t="shared" si="4"/>
        <v/>
      </c>
      <c r="T49" s="119" t="str">
        <f t="shared" si="6"/>
        <v>Update</v>
      </c>
      <c r="U49" s="128">
        <f t="shared" si="3"/>
        <v>10200036.425393362</v>
      </c>
    </row>
    <row r="50" spans="1:21" s="85" customFormat="1" ht="26.25" x14ac:dyDescent="0.4">
      <c r="A50" s="15" t="s">
        <v>53</v>
      </c>
      <c r="B50" s="16">
        <v>1355295.1245173174</v>
      </c>
      <c r="C50" s="82">
        <v>0</v>
      </c>
      <c r="D50" s="82">
        <v>212505.60000000001</v>
      </c>
      <c r="E50" s="13">
        <v>9480054.8290547822</v>
      </c>
      <c r="F50" s="82">
        <v>2034835.2</v>
      </c>
      <c r="G50" s="16">
        <f>VLOOKUP(A50,'NPV Analysis'!$A$9:$R$123,16)</f>
        <v>0</v>
      </c>
      <c r="H50" s="83">
        <f>VLOOKUP(A50,'LRP Tier Groupings'!$A$4:D159,3)</f>
        <v>0</v>
      </c>
      <c r="I50" s="16">
        <f>VLOOKUP(A50,'NPV Analysis'!$A$9:$R$123,2)</f>
        <v>18642967.489294458</v>
      </c>
      <c r="J50" s="110">
        <f t="shared" si="0"/>
        <v>2</v>
      </c>
      <c r="K50" s="16">
        <f t="shared" si="5"/>
        <v>1355295.1245173174</v>
      </c>
      <c r="L50" s="118">
        <v>46233</v>
      </c>
      <c r="M50" s="84">
        <v>0</v>
      </c>
      <c r="N50" s="84">
        <v>0</v>
      </c>
      <c r="O50" s="16" t="str">
        <f>IF(N50=1,M50*Assumptions!$B$3,IF(N50=2,Assumptions!$C$3*M50,""))</f>
        <v/>
      </c>
      <c r="P50" s="16"/>
      <c r="Q50" s="16"/>
      <c r="R50" s="113" t="s">
        <v>247</v>
      </c>
      <c r="S50" s="116" t="str">
        <f t="shared" si="4"/>
        <v/>
      </c>
      <c r="T50" s="119" t="str">
        <f t="shared" si="6"/>
        <v>Update</v>
      </c>
      <c r="U50" s="128">
        <f t="shared" si="3"/>
        <v>1355295.1245173174</v>
      </c>
    </row>
    <row r="51" spans="1:21" s="85" customFormat="1" ht="26.25" x14ac:dyDescent="0.4">
      <c r="A51" s="15" t="s">
        <v>54</v>
      </c>
      <c r="B51" s="16">
        <v>1578344.9476342611</v>
      </c>
      <c r="C51" s="82">
        <v>933820.79999999993</v>
      </c>
      <c r="D51" s="82">
        <v>1124925.5999999999</v>
      </c>
      <c r="E51" s="13">
        <v>9086411.6068098471</v>
      </c>
      <c r="F51" s="82">
        <v>12388648.799999999</v>
      </c>
      <c r="G51" s="16">
        <f>VLOOKUP(A51,'NPV Analysis'!$A$9:$R$123,16)</f>
        <v>0</v>
      </c>
      <c r="H51" s="83">
        <f>VLOOKUP(A51,'LRP Tier Groupings'!$A$4:D160,3)</f>
        <v>0</v>
      </c>
      <c r="I51" s="16">
        <f>VLOOKUP(A51,'NPV Analysis'!$A$9:$R$123,2)</f>
        <v>65678052.648393996</v>
      </c>
      <c r="J51" s="110">
        <f t="shared" si="0"/>
        <v>2</v>
      </c>
      <c r="K51" s="16">
        <f t="shared" si="5"/>
        <v>2512165.7476342609</v>
      </c>
      <c r="L51" s="118">
        <v>169044.68</v>
      </c>
      <c r="M51" s="84">
        <v>0</v>
      </c>
      <c r="N51" s="84">
        <v>0</v>
      </c>
      <c r="O51" s="16" t="str">
        <f>IF(N51=1,M51*Assumptions!$B$3,IF(N51=2,Assumptions!$C$3*M51,""))</f>
        <v/>
      </c>
      <c r="P51" s="16"/>
      <c r="Q51" s="16"/>
      <c r="R51" s="113" t="s">
        <v>247</v>
      </c>
      <c r="S51" s="116" t="str">
        <f t="shared" si="4"/>
        <v/>
      </c>
      <c r="T51" s="119" t="str">
        <f t="shared" si="6"/>
        <v>Update</v>
      </c>
      <c r="U51" s="128">
        <f t="shared" si="3"/>
        <v>2512165.7476342609</v>
      </c>
    </row>
    <row r="52" spans="1:21" s="85" customFormat="1" ht="26.25" x14ac:dyDescent="0.4">
      <c r="A52" s="15" t="s">
        <v>55</v>
      </c>
      <c r="B52" s="16">
        <v>0</v>
      </c>
      <c r="C52" s="82">
        <v>0</v>
      </c>
      <c r="D52" s="82">
        <v>0</v>
      </c>
      <c r="E52" s="13">
        <v>0</v>
      </c>
      <c r="F52" s="82">
        <v>0</v>
      </c>
      <c r="G52" s="16">
        <f>VLOOKUP(A52,'NPV Analysis'!$A$9:$R$123,16)</f>
        <v>0</v>
      </c>
      <c r="H52" s="83">
        <f>VLOOKUP(A52,'LRP Tier Groupings'!$A$4:D161,3)</f>
        <v>1</v>
      </c>
      <c r="I52" s="16">
        <f>VLOOKUP(A52,'NPV Analysis'!$A$9:$R$123,2)</f>
        <v>8915952.6176074017</v>
      </c>
      <c r="J52" s="110">
        <f t="shared" si="0"/>
        <v>3</v>
      </c>
      <c r="K52" s="16">
        <f t="shared" si="5"/>
        <v>0</v>
      </c>
      <c r="L52" s="118">
        <v>84241</v>
      </c>
      <c r="M52" s="84">
        <v>0</v>
      </c>
      <c r="N52" s="84">
        <v>0</v>
      </c>
      <c r="O52" s="16" t="str">
        <f>IF(N52=1,M52*Assumptions!$B$3,IF(N52=2,Assumptions!$C$3*M52,""))</f>
        <v/>
      </c>
      <c r="P52" s="16"/>
      <c r="Q52" s="16"/>
      <c r="R52" s="113" t="s">
        <v>247</v>
      </c>
      <c r="S52" s="116" t="str">
        <f t="shared" si="4"/>
        <v/>
      </c>
      <c r="T52" s="119" t="str">
        <f t="shared" si="6"/>
        <v>Update</v>
      </c>
      <c r="U52" s="128">
        <f t="shared" si="3"/>
        <v>0</v>
      </c>
    </row>
    <row r="53" spans="1:21" s="85" customFormat="1" ht="26.25" x14ac:dyDescent="0.4">
      <c r="A53" s="15" t="s">
        <v>56</v>
      </c>
      <c r="B53" s="16">
        <v>2066836.2259930256</v>
      </c>
      <c r="C53" s="82">
        <v>327900</v>
      </c>
      <c r="D53" s="82">
        <v>3738847.1999999997</v>
      </c>
      <c r="E53" s="13">
        <v>6729866.5097209895</v>
      </c>
      <c r="F53" s="82">
        <v>7599686.3999999994</v>
      </c>
      <c r="G53" s="16">
        <f>VLOOKUP(A53,'NPV Analysis'!$A$9:$R$123,16)</f>
        <v>141605.09922028758</v>
      </c>
      <c r="H53" s="83">
        <f>VLOOKUP(A53,'LRP Tier Groupings'!$A$4:D162,3)</f>
        <v>1</v>
      </c>
      <c r="I53" s="16">
        <f>VLOOKUP(A53,'NPV Analysis'!$A$9:$R$123,2)</f>
        <v>25602983.931503944</v>
      </c>
      <c r="J53" s="110">
        <f t="shared" si="0"/>
        <v>3</v>
      </c>
      <c r="K53" s="16">
        <f t="shared" si="5"/>
        <v>6133583.4259930253</v>
      </c>
      <c r="L53" s="118">
        <v>70589.58</v>
      </c>
      <c r="M53" s="84">
        <v>0</v>
      </c>
      <c r="N53" s="84">
        <v>0</v>
      </c>
      <c r="O53" s="16" t="str">
        <f>IF(N53=1,M53*Assumptions!$B$3,IF(N53=2,Assumptions!$C$3*M53,""))</f>
        <v/>
      </c>
      <c r="P53" s="86"/>
      <c r="Q53" s="16">
        <v>60020000</v>
      </c>
      <c r="R53" s="113" t="s">
        <v>247</v>
      </c>
      <c r="S53" s="116" t="str">
        <f t="shared" si="4"/>
        <v/>
      </c>
      <c r="T53" s="119" t="str">
        <f t="shared" si="6"/>
        <v>Update</v>
      </c>
      <c r="U53" s="128">
        <f t="shared" si="3"/>
        <v>6133583.4259930253</v>
      </c>
    </row>
    <row r="54" spans="1:21" s="85" customFormat="1" ht="26.25" x14ac:dyDescent="0.4">
      <c r="A54" s="15" t="s">
        <v>57</v>
      </c>
      <c r="B54" s="16">
        <v>0</v>
      </c>
      <c r="C54" s="82">
        <v>955406.39999999991</v>
      </c>
      <c r="D54" s="82">
        <v>1130424</v>
      </c>
      <c r="E54" s="13">
        <v>0</v>
      </c>
      <c r="F54" s="82">
        <v>4523042.3999999994</v>
      </c>
      <c r="G54" s="16">
        <f>VLOOKUP(A54,'NPV Analysis'!$A$9:$R$123,16)</f>
        <v>3664961.7634139131</v>
      </c>
      <c r="H54" s="83">
        <f>VLOOKUP(A54,'LRP Tier Groupings'!$A$4:D163,3)</f>
        <v>1</v>
      </c>
      <c r="I54" s="16">
        <f>VLOOKUP(A54,'NPV Analysis'!$A$9:$R$123,2)</f>
        <v>25208200.471329782</v>
      </c>
      <c r="J54" s="110">
        <f t="shared" si="0"/>
        <v>3</v>
      </c>
      <c r="K54" s="16">
        <f t="shared" si="5"/>
        <v>2085830.4</v>
      </c>
      <c r="L54" s="118">
        <v>100582.27</v>
      </c>
      <c r="M54" s="84">
        <v>0</v>
      </c>
      <c r="N54" s="84">
        <v>0</v>
      </c>
      <c r="O54" s="16" t="str">
        <f>IF(N54=1,M54*Assumptions!$B$3,IF(N54=2,Assumptions!$C$3*M54,""))</f>
        <v/>
      </c>
      <c r="P54" s="16"/>
      <c r="Q54" s="16"/>
      <c r="R54" s="113" t="s">
        <v>247</v>
      </c>
      <c r="S54" s="116" t="str">
        <f t="shared" si="4"/>
        <v/>
      </c>
      <c r="T54" s="119" t="str">
        <f t="shared" si="6"/>
        <v>Update</v>
      </c>
      <c r="U54" s="128">
        <f t="shared" si="3"/>
        <v>2085830.4</v>
      </c>
    </row>
    <row r="55" spans="1:21" s="85" customFormat="1" ht="26.25" x14ac:dyDescent="0.4">
      <c r="A55" s="15" t="s">
        <v>58</v>
      </c>
      <c r="B55" s="16">
        <v>497655.31006089598</v>
      </c>
      <c r="C55" s="82">
        <v>228494.4</v>
      </c>
      <c r="D55" s="82">
        <v>4157352</v>
      </c>
      <c r="E55" s="13">
        <v>3701783.1429647086</v>
      </c>
      <c r="F55" s="82">
        <v>5468421.5999999996</v>
      </c>
      <c r="G55" s="16">
        <f>VLOOKUP(A55,'NPV Analysis'!$A$9:$R$123,16)</f>
        <v>574849.12448966492</v>
      </c>
      <c r="H55" s="83">
        <f>VLOOKUP(A55,'LRP Tier Groupings'!$A$4:D164,3)</f>
        <v>0</v>
      </c>
      <c r="I55" s="16">
        <f>VLOOKUP(A55,'NPV Analysis'!$A$9:$R$123,2)</f>
        <v>19394732.987752061</v>
      </c>
      <c r="J55" s="110">
        <f t="shared" si="0"/>
        <v>2</v>
      </c>
      <c r="K55" s="16">
        <f t="shared" si="5"/>
        <v>726149.710060896</v>
      </c>
      <c r="L55" s="118">
        <v>41483.72</v>
      </c>
      <c r="M55" s="84">
        <v>0</v>
      </c>
      <c r="N55" s="84">
        <v>0</v>
      </c>
      <c r="O55" s="16" t="str">
        <f>IF(N55=1,M55*Assumptions!$B$3,IF(N55=2,Assumptions!$C$3*M55,""))</f>
        <v/>
      </c>
      <c r="P55" s="16"/>
      <c r="Q55" s="16"/>
      <c r="R55" s="113" t="s">
        <v>247</v>
      </c>
      <c r="S55" s="116" t="str">
        <f t="shared" si="4"/>
        <v/>
      </c>
      <c r="T55" s="119" t="str">
        <f t="shared" si="6"/>
        <v>Update</v>
      </c>
      <c r="U55" s="128">
        <f t="shared" si="3"/>
        <v>726149.710060896</v>
      </c>
    </row>
    <row r="56" spans="1:21" s="85" customFormat="1" ht="26.25" x14ac:dyDescent="0.4">
      <c r="A56" s="15" t="s">
        <v>59</v>
      </c>
      <c r="B56" s="16">
        <v>6807624.8565358864</v>
      </c>
      <c r="C56" s="82">
        <v>20925.599999999999</v>
      </c>
      <c r="D56" s="82">
        <v>1128636</v>
      </c>
      <c r="E56" s="13">
        <v>5763957.3695216775</v>
      </c>
      <c r="F56" s="82">
        <v>3536464.8</v>
      </c>
      <c r="G56" s="16">
        <f>VLOOKUP(A56,'NPV Analysis'!$A$9:$R$123,16)</f>
        <v>1996494.514459132</v>
      </c>
      <c r="H56" s="83">
        <f>VLOOKUP(A56,'LRP Tier Groupings'!$A$4:D165,3)</f>
        <v>1</v>
      </c>
      <c r="I56" s="16">
        <f>VLOOKUP(A56,'NPV Analysis'!$A$9:$R$123,2)</f>
        <v>23714631.853361949</v>
      </c>
      <c r="J56" s="110">
        <f t="shared" si="0"/>
        <v>3</v>
      </c>
      <c r="K56" s="16">
        <f t="shared" si="5"/>
        <v>7957186.456535886</v>
      </c>
      <c r="L56" s="118">
        <v>57232.208225757196</v>
      </c>
      <c r="M56" s="84">
        <v>85000</v>
      </c>
      <c r="N56" s="84">
        <v>1</v>
      </c>
      <c r="O56" s="16">
        <f>IF(N56=1,M56*Assumptions!$B$3,IF(N56=2,Assumptions!$C$3*M56,""))</f>
        <v>55250000</v>
      </c>
      <c r="P56" s="16">
        <v>38790000</v>
      </c>
      <c r="Q56" s="16"/>
      <c r="R56" s="114" t="s">
        <v>160</v>
      </c>
      <c r="S56" s="116">
        <f t="shared" si="4"/>
        <v>38790000</v>
      </c>
      <c r="T56" s="119" t="b">
        <f t="shared" si="6"/>
        <v>0</v>
      </c>
      <c r="U56" s="128">
        <f t="shared" si="3"/>
        <v>38790000</v>
      </c>
    </row>
    <row r="57" spans="1:21" s="85" customFormat="1" ht="26.25" x14ac:dyDescent="0.4">
      <c r="A57" s="15" t="s">
        <v>60</v>
      </c>
      <c r="B57" s="16">
        <v>1870278.7961736356</v>
      </c>
      <c r="C57" s="82">
        <v>0</v>
      </c>
      <c r="D57" s="82">
        <v>1048430.3999999999</v>
      </c>
      <c r="E57" s="13">
        <v>10223518.479959989</v>
      </c>
      <c r="F57" s="82">
        <v>10972068</v>
      </c>
      <c r="G57" s="16">
        <f>VLOOKUP(A57,'NPV Analysis'!$A$9:$R$123,16)</f>
        <v>1414689.5237198558</v>
      </c>
      <c r="H57" s="83">
        <f>VLOOKUP(A57,'LRP Tier Groupings'!$A$4:D166,3)</f>
        <v>1</v>
      </c>
      <c r="I57" s="16">
        <f>VLOOKUP(A57,'NPV Analysis'!$A$9:$R$123,2)</f>
        <v>30261451.098518301</v>
      </c>
      <c r="J57" s="110">
        <f t="shared" si="0"/>
        <v>3</v>
      </c>
      <c r="K57" s="16">
        <f t="shared" si="5"/>
        <v>2918709.1961736353</v>
      </c>
      <c r="L57" s="118">
        <v>81041.820000000007</v>
      </c>
      <c r="M57" s="84">
        <v>0</v>
      </c>
      <c r="N57" s="84">
        <v>0</v>
      </c>
      <c r="O57" s="16" t="str">
        <f>IF(N57=1,M57*Assumptions!$B$3,IF(N57=2,Assumptions!$C$3*M57,""))</f>
        <v/>
      </c>
      <c r="P57" s="16"/>
      <c r="Q57" s="16"/>
      <c r="R57" s="113" t="s">
        <v>247</v>
      </c>
      <c r="S57" s="116" t="str">
        <f t="shared" si="4"/>
        <v/>
      </c>
      <c r="T57" s="119" t="str">
        <f t="shared" si="6"/>
        <v>Update</v>
      </c>
      <c r="U57" s="128">
        <f t="shared" si="3"/>
        <v>2918709.1961736353</v>
      </c>
    </row>
    <row r="58" spans="1:21" s="85" customFormat="1" ht="26.25" x14ac:dyDescent="0.4">
      <c r="A58" s="15" t="s">
        <v>61</v>
      </c>
      <c r="B58" s="16">
        <v>1731399.7018180704</v>
      </c>
      <c r="C58" s="82">
        <v>0</v>
      </c>
      <c r="D58" s="82">
        <v>9376466.4000000004</v>
      </c>
      <c r="E58" s="13">
        <v>8814521.6355075203</v>
      </c>
      <c r="F58" s="82">
        <v>10211656.799999999</v>
      </c>
      <c r="G58" s="16">
        <f>VLOOKUP(A58,'NPV Analysis'!$A$9:$R$123,16)</f>
        <v>769378.21674080205</v>
      </c>
      <c r="H58" s="83">
        <f>VLOOKUP(A58,'LRP Tier Groupings'!$A$4:D167,3)</f>
        <v>0</v>
      </c>
      <c r="I58" s="16">
        <f>VLOOKUP(A58,'NPV Analysis'!$A$9:$R$123,2)</f>
        <v>38307246.512660325</v>
      </c>
      <c r="J58" s="110">
        <f t="shared" si="0"/>
        <v>2</v>
      </c>
      <c r="K58" s="16">
        <f t="shared" si="5"/>
        <v>1731399.7018180704</v>
      </c>
      <c r="L58" s="118">
        <v>60997.51</v>
      </c>
      <c r="M58" s="84">
        <v>0</v>
      </c>
      <c r="N58" s="84">
        <v>0</v>
      </c>
      <c r="O58" s="16" t="str">
        <f>IF(N58=1,M58*Assumptions!$B$3,IF(N58=2,Assumptions!$C$3*M58,""))</f>
        <v/>
      </c>
      <c r="P58" s="16"/>
      <c r="Q58" s="16"/>
      <c r="R58" s="113" t="s">
        <v>247</v>
      </c>
      <c r="S58" s="116" t="str">
        <f t="shared" si="4"/>
        <v/>
      </c>
      <c r="T58" s="119" t="str">
        <f t="shared" si="6"/>
        <v>Update</v>
      </c>
      <c r="U58" s="128">
        <f t="shared" si="3"/>
        <v>1731399.7018180704</v>
      </c>
    </row>
    <row r="59" spans="1:21" s="85" customFormat="1" ht="26.25" x14ac:dyDescent="0.4">
      <c r="A59" s="15" t="s">
        <v>62</v>
      </c>
      <c r="B59" s="16">
        <v>641485.36938502255</v>
      </c>
      <c r="C59" s="82">
        <v>0</v>
      </c>
      <c r="D59" s="82">
        <v>2665687.1999999997</v>
      </c>
      <c r="E59" s="13">
        <v>3836485.2441100362</v>
      </c>
      <c r="F59" s="82">
        <v>12989980.799999999</v>
      </c>
      <c r="G59" s="16">
        <f>VLOOKUP(A59,'NPV Analysis'!$A$9:$R$123,16)</f>
        <v>1698586.6448950456</v>
      </c>
      <c r="H59" s="83">
        <f>VLOOKUP(A59,'LRP Tier Groupings'!$A$4:D168,3)</f>
        <v>0</v>
      </c>
      <c r="I59" s="16">
        <f>VLOOKUP(A59,'NPV Analysis'!$A$9:$R$123,2)</f>
        <v>34861608.832685925</v>
      </c>
      <c r="J59" s="110">
        <f t="shared" si="0"/>
        <v>2</v>
      </c>
      <c r="K59" s="16">
        <f t="shared" si="5"/>
        <v>641485.36938502255</v>
      </c>
      <c r="L59" s="118">
        <v>69625.864163561797</v>
      </c>
      <c r="M59" s="84">
        <v>0</v>
      </c>
      <c r="N59" s="84">
        <v>0</v>
      </c>
      <c r="O59" s="16" t="str">
        <f>IF(N59=1,M59*Assumptions!$B$3,IF(N59=2,Assumptions!$C$3*M59,""))</f>
        <v/>
      </c>
      <c r="P59" s="16"/>
      <c r="Q59" s="16"/>
      <c r="R59" s="113" t="s">
        <v>247</v>
      </c>
      <c r="S59" s="116" t="str">
        <f t="shared" si="4"/>
        <v/>
      </c>
      <c r="T59" s="119" t="str">
        <f t="shared" si="6"/>
        <v>Update</v>
      </c>
      <c r="U59" s="128">
        <f t="shared" si="3"/>
        <v>641485.36938502255</v>
      </c>
    </row>
    <row r="60" spans="1:21" s="85" customFormat="1" ht="26.25" x14ac:dyDescent="0.4">
      <c r="A60" s="15" t="s">
        <v>63</v>
      </c>
      <c r="B60" s="16">
        <v>198575.27831927827</v>
      </c>
      <c r="C60" s="82">
        <v>0</v>
      </c>
      <c r="D60" s="82">
        <v>6257181.5999999996</v>
      </c>
      <c r="E60" s="13">
        <v>7246974.0395501796</v>
      </c>
      <c r="F60" s="82">
        <v>13039176</v>
      </c>
      <c r="G60" s="16">
        <f>VLOOKUP(A60,'NPV Analysis'!$A$9:$R$123,16)</f>
        <v>2197787.6296736365</v>
      </c>
      <c r="H60" s="83">
        <f>VLOOKUP(A60,'LRP Tier Groupings'!$A$4:D169,3)</f>
        <v>1</v>
      </c>
      <c r="I60" s="16">
        <f>VLOOKUP(A60,'NPV Analysis'!$A$9:$R$123,2)</f>
        <v>36229653.586089626</v>
      </c>
      <c r="J60" s="110">
        <f t="shared" si="0"/>
        <v>3</v>
      </c>
      <c r="K60" s="16">
        <f t="shared" si="5"/>
        <v>6455756.8783192784</v>
      </c>
      <c r="L60" s="118">
        <v>81205.5</v>
      </c>
      <c r="M60" s="84">
        <v>0</v>
      </c>
      <c r="N60" s="84">
        <v>0</v>
      </c>
      <c r="O60" s="16" t="str">
        <f>IF(N60=1,M60*Assumptions!$B$3,IF(N60=2,Assumptions!$C$3*M60,""))</f>
        <v/>
      </c>
      <c r="P60" s="16">
        <v>60020000</v>
      </c>
      <c r="Q60" s="16"/>
      <c r="R60" s="114" t="s">
        <v>167</v>
      </c>
      <c r="S60" s="116">
        <f t="shared" si="4"/>
        <v>60020000</v>
      </c>
      <c r="T60" s="119" t="b">
        <f t="shared" si="6"/>
        <v>0</v>
      </c>
      <c r="U60" s="128">
        <f t="shared" si="3"/>
        <v>60020000</v>
      </c>
    </row>
    <row r="61" spans="1:21" s="85" customFormat="1" ht="26.25" x14ac:dyDescent="0.4">
      <c r="A61" s="15" t="s">
        <v>64</v>
      </c>
      <c r="B61" s="16">
        <v>1047459.3854061079</v>
      </c>
      <c r="C61" s="82">
        <v>0</v>
      </c>
      <c r="D61" s="82">
        <v>1520416.8</v>
      </c>
      <c r="E61" s="13">
        <v>5713063.9032433769</v>
      </c>
      <c r="F61" s="82">
        <v>11425149.6</v>
      </c>
      <c r="G61" s="16">
        <f>VLOOKUP(A61,'NPV Analysis'!$A$9:$R$123,16)</f>
        <v>960404.621894715</v>
      </c>
      <c r="H61" s="83">
        <f>VLOOKUP(A61,'LRP Tier Groupings'!$A$4:D170,3)</f>
        <v>1</v>
      </c>
      <c r="I61" s="16">
        <f>VLOOKUP(A61,'NPV Analysis'!$A$9:$R$123,2)</f>
        <v>24035445.140599277</v>
      </c>
      <c r="J61" s="110">
        <f t="shared" si="0"/>
        <v>3</v>
      </c>
      <c r="K61" s="16">
        <f t="shared" si="5"/>
        <v>2567876.1854061079</v>
      </c>
      <c r="L61" s="120">
        <v>76428.352929385699</v>
      </c>
      <c r="M61" s="84">
        <v>0</v>
      </c>
      <c r="N61" s="84">
        <v>0</v>
      </c>
      <c r="O61" s="16" t="str">
        <f>IF(N61=1,M61*Assumptions!$B$3,IF(N61=2,Assumptions!$C$3*M61,""))</f>
        <v/>
      </c>
      <c r="P61" s="16"/>
      <c r="Q61" s="16"/>
      <c r="R61" s="113" t="s">
        <v>247</v>
      </c>
      <c r="S61" s="116" t="str">
        <f t="shared" si="4"/>
        <v/>
      </c>
      <c r="T61" s="119" t="str">
        <f t="shared" si="6"/>
        <v>Update</v>
      </c>
      <c r="U61" s="128">
        <f t="shared" si="3"/>
        <v>2567876.1854061079</v>
      </c>
    </row>
    <row r="62" spans="1:21" s="85" customFormat="1" ht="26.25" x14ac:dyDescent="0.4">
      <c r="A62" s="15" t="s">
        <v>65</v>
      </c>
      <c r="B62" s="16">
        <v>1303970.7955069409</v>
      </c>
      <c r="C62" s="82">
        <v>0</v>
      </c>
      <c r="D62" s="82">
        <v>1295973.5999999999</v>
      </c>
      <c r="E62" s="13">
        <v>4922469.9912801264</v>
      </c>
      <c r="F62" s="82">
        <v>5599252.7999999998</v>
      </c>
      <c r="G62" s="16">
        <f>VLOOKUP(A62,'NPV Analysis'!$A$9:$R$123,16)</f>
        <v>0</v>
      </c>
      <c r="H62" s="83">
        <f>VLOOKUP(A62,'LRP Tier Groupings'!$A$4:D171,3)</f>
        <v>0</v>
      </c>
      <c r="I62" s="16">
        <f>VLOOKUP(A62,'NPV Analysis'!$A$9:$R$123,2)</f>
        <v>23449451.762072675</v>
      </c>
      <c r="J62" s="110">
        <f t="shared" si="0"/>
        <v>2</v>
      </c>
      <c r="K62" s="16">
        <f t="shared" si="5"/>
        <v>1303970.7955069409</v>
      </c>
      <c r="L62" s="118">
        <v>45649.86</v>
      </c>
      <c r="M62" s="84">
        <v>0</v>
      </c>
      <c r="N62" s="84">
        <v>0</v>
      </c>
      <c r="O62" s="16" t="str">
        <f>IF(N62=1,M62*Assumptions!$B$3,IF(N62=2,Assumptions!$C$3*M62,""))</f>
        <v/>
      </c>
      <c r="P62" s="16"/>
      <c r="Q62" s="16"/>
      <c r="R62" s="113" t="s">
        <v>247</v>
      </c>
      <c r="S62" s="116" t="str">
        <f t="shared" si="4"/>
        <v/>
      </c>
      <c r="T62" s="119" t="str">
        <f t="shared" si="6"/>
        <v>Update</v>
      </c>
      <c r="U62" s="128">
        <f t="shared" si="3"/>
        <v>1303970.7955069409</v>
      </c>
    </row>
    <row r="63" spans="1:21" s="85" customFormat="1" ht="26.25" x14ac:dyDescent="0.4">
      <c r="A63" s="15" t="s">
        <v>66</v>
      </c>
      <c r="B63" s="16">
        <v>3239992.9562931559</v>
      </c>
      <c r="C63" s="82">
        <v>0</v>
      </c>
      <c r="D63" s="82">
        <v>2417532</v>
      </c>
      <c r="E63" s="13">
        <v>24153209.746694271</v>
      </c>
      <c r="F63" s="82">
        <v>7248583.2000000002</v>
      </c>
      <c r="G63" s="16">
        <f>VLOOKUP(A63,'NPV Analysis'!$A$9:$R$123,16)</f>
        <v>4130095.093651481</v>
      </c>
      <c r="H63" s="83">
        <f>VLOOKUP(A63,'LRP Tier Groupings'!$A$4:D172,3)</f>
        <v>0</v>
      </c>
      <c r="I63" s="16">
        <f>VLOOKUP(A63,'NPV Analysis'!$A$9:$R$123,2)</f>
        <v>61959524.959835313</v>
      </c>
      <c r="J63" s="110">
        <f t="shared" si="0"/>
        <v>2</v>
      </c>
      <c r="K63" s="16">
        <f t="shared" si="5"/>
        <v>3239992.9562931559</v>
      </c>
      <c r="L63" s="118">
        <v>192798</v>
      </c>
      <c r="M63" s="84">
        <v>0</v>
      </c>
      <c r="N63" s="84">
        <v>0</v>
      </c>
      <c r="O63" s="16" t="str">
        <f>IF(N63=1,M63*Assumptions!$B$3,IF(N63=2,Assumptions!$C$3*M63,""))</f>
        <v/>
      </c>
      <c r="P63" s="16"/>
      <c r="Q63" s="16"/>
      <c r="R63" s="113" t="s">
        <v>247</v>
      </c>
      <c r="S63" s="116" t="str">
        <f t="shared" si="4"/>
        <v/>
      </c>
      <c r="T63" s="119" t="str">
        <f t="shared" si="6"/>
        <v>Update</v>
      </c>
      <c r="U63" s="128">
        <f t="shared" si="3"/>
        <v>3239992.9562931559</v>
      </c>
    </row>
    <row r="64" spans="1:21" s="85" customFormat="1" ht="26.25" x14ac:dyDescent="0.4">
      <c r="A64" s="15" t="s">
        <v>67</v>
      </c>
      <c r="B64" s="16">
        <v>1590721.9533624845</v>
      </c>
      <c r="C64" s="82">
        <v>119318.39999999999</v>
      </c>
      <c r="D64" s="82">
        <v>1579588.8</v>
      </c>
      <c r="E64" s="13">
        <v>5936285.1505853049</v>
      </c>
      <c r="F64" s="82">
        <v>16291540.799999999</v>
      </c>
      <c r="G64" s="16">
        <f>VLOOKUP(A64,'NPV Analysis'!$A$9:$R$123,16)</f>
        <v>582188.67731176363</v>
      </c>
      <c r="H64" s="83">
        <f>VLOOKUP(A64,'LRP Tier Groupings'!$A$4:D173,3)</f>
        <v>0</v>
      </c>
      <c r="I64" s="16">
        <f>VLOOKUP(A64,'NPV Analysis'!$A$9:$R$123,2)</f>
        <v>46845322.436230041</v>
      </c>
      <c r="J64" s="110">
        <f t="shared" si="0"/>
        <v>2</v>
      </c>
      <c r="K64" s="16">
        <f t="shared" si="5"/>
        <v>1710040.3533624844</v>
      </c>
      <c r="L64" s="118">
        <v>75594.539999999994</v>
      </c>
      <c r="M64" s="84">
        <v>0</v>
      </c>
      <c r="N64" s="84">
        <v>0</v>
      </c>
      <c r="O64" s="16" t="str">
        <f>IF(N64=1,M64*Assumptions!$B$3,IF(N64=2,Assumptions!$C$3*M64,""))</f>
        <v/>
      </c>
      <c r="P64" s="16"/>
      <c r="Q64" s="16"/>
      <c r="R64" s="113" t="s">
        <v>247</v>
      </c>
      <c r="S64" s="116" t="str">
        <f t="shared" si="4"/>
        <v/>
      </c>
      <c r="T64" s="119" t="str">
        <f t="shared" si="6"/>
        <v>Update</v>
      </c>
      <c r="U64" s="128">
        <f t="shared" si="3"/>
        <v>1710040.3533624844</v>
      </c>
    </row>
    <row r="65" spans="1:21" s="85" customFormat="1" ht="26.25" x14ac:dyDescent="0.4">
      <c r="A65" s="15" t="s">
        <v>68</v>
      </c>
      <c r="B65" s="16">
        <v>1110495.6562422346</v>
      </c>
      <c r="C65" s="82">
        <v>98035.199999999997</v>
      </c>
      <c r="D65" s="82">
        <v>410952</v>
      </c>
      <c r="E65" s="13">
        <v>9802649.9629901983</v>
      </c>
      <c r="F65" s="82">
        <v>5307084</v>
      </c>
      <c r="G65" s="16">
        <f>VLOOKUP(A65,'NPV Analysis'!$A$9:$R$123,16)</f>
        <v>670164.29528727301</v>
      </c>
      <c r="H65" s="83">
        <f>VLOOKUP(A65,'LRP Tier Groupings'!$A$4:D174,3)</f>
        <v>0</v>
      </c>
      <c r="I65" s="16">
        <f>VLOOKUP(A65,'NPV Analysis'!$A$9:$R$123,2)</f>
        <v>29665348.926502507</v>
      </c>
      <c r="J65" s="110">
        <f t="shared" si="0"/>
        <v>2</v>
      </c>
      <c r="K65" s="16">
        <f t="shared" si="5"/>
        <v>1208530.8562422346</v>
      </c>
      <c r="L65" s="118">
        <v>78704.67</v>
      </c>
      <c r="M65" s="84">
        <v>0</v>
      </c>
      <c r="N65" s="84">
        <v>0</v>
      </c>
      <c r="O65" s="16" t="str">
        <f>IF(N65=1,M65*Assumptions!$B$3,IF(N65=2,Assumptions!$C$3*M65,""))</f>
        <v/>
      </c>
      <c r="P65" s="16"/>
      <c r="Q65" s="16"/>
      <c r="R65" s="113" t="s">
        <v>247</v>
      </c>
      <c r="S65" s="116" t="str">
        <f t="shared" si="4"/>
        <v/>
      </c>
      <c r="T65" s="119" t="str">
        <f t="shared" si="6"/>
        <v>Update</v>
      </c>
      <c r="U65" s="128">
        <f t="shared" si="3"/>
        <v>1208530.8562422346</v>
      </c>
    </row>
    <row r="66" spans="1:21" s="85" customFormat="1" ht="26.25" x14ac:dyDescent="0.4">
      <c r="A66" s="15" t="s">
        <v>69</v>
      </c>
      <c r="B66" s="16">
        <v>40272.448916991489</v>
      </c>
      <c r="C66" s="82">
        <v>581155.19999999995</v>
      </c>
      <c r="D66" s="82">
        <v>13327188</v>
      </c>
      <c r="E66" s="13">
        <v>6557394.2296705246</v>
      </c>
      <c r="F66" s="82">
        <v>16399384.799999999</v>
      </c>
      <c r="G66" s="16">
        <f>VLOOKUP(A66,'NPV Analysis'!$A$9:$R$123,16)</f>
        <v>4475982.3502558125</v>
      </c>
      <c r="H66" s="83">
        <f>VLOOKUP(A66,'LRP Tier Groupings'!$A$4:D175,3)</f>
        <v>0</v>
      </c>
      <c r="I66" s="16">
        <f>VLOOKUP(A66,'NPV Analysis'!$A$9:$R$123,2)</f>
        <v>68828935.538110703</v>
      </c>
      <c r="J66" s="110">
        <f t="shared" si="0"/>
        <v>2</v>
      </c>
      <c r="K66" s="16">
        <f t="shared" si="5"/>
        <v>621427.64891699143</v>
      </c>
      <c r="L66" s="118">
        <v>121592.67</v>
      </c>
      <c r="M66" s="84">
        <v>0</v>
      </c>
      <c r="N66" s="84">
        <v>0</v>
      </c>
      <c r="O66" s="16" t="str">
        <f>IF(N66=1,M66*Assumptions!$B$3,IF(N66=2,Assumptions!$C$3*M66,""))</f>
        <v/>
      </c>
      <c r="P66" s="16"/>
      <c r="Q66" s="16"/>
      <c r="R66" s="113" t="s">
        <v>247</v>
      </c>
      <c r="S66" s="116" t="str">
        <f t="shared" si="4"/>
        <v/>
      </c>
      <c r="T66" s="119" t="str">
        <f t="shared" si="6"/>
        <v>Update</v>
      </c>
      <c r="U66" s="128">
        <f t="shared" si="3"/>
        <v>621427.64891699143</v>
      </c>
    </row>
    <row r="67" spans="1:21" s="85" customFormat="1" ht="26.25" x14ac:dyDescent="0.4">
      <c r="A67" s="15" t="s">
        <v>70</v>
      </c>
      <c r="B67" s="16">
        <v>5865173.8503208002</v>
      </c>
      <c r="C67" s="82">
        <v>318549.59999999998</v>
      </c>
      <c r="D67" s="82">
        <v>52394.400000000001</v>
      </c>
      <c r="E67" s="13">
        <v>4088729.4949011048</v>
      </c>
      <c r="F67" s="82">
        <v>5809682.3999999994</v>
      </c>
      <c r="G67" s="16">
        <f>VLOOKUP(A67,'NPV Analysis'!$A$9:$R$123,16)</f>
        <v>2856218.5420345194</v>
      </c>
      <c r="H67" s="83">
        <f>VLOOKUP(A67,'LRP Tier Groupings'!$A$4:D176,3)</f>
        <v>1</v>
      </c>
      <c r="I67" s="16">
        <f>VLOOKUP(A67,'NPV Analysis'!$A$9:$R$123,2)</f>
        <v>39246023.153532416</v>
      </c>
      <c r="J67" s="110">
        <f t="shared" si="0"/>
        <v>3</v>
      </c>
      <c r="K67" s="16">
        <f t="shared" si="5"/>
        <v>6236117.8503208002</v>
      </c>
      <c r="L67" s="118">
        <v>79503</v>
      </c>
      <c r="M67" s="84">
        <v>0</v>
      </c>
      <c r="N67" s="84">
        <v>0</v>
      </c>
      <c r="O67" s="16" t="str">
        <f>IF(N67=1,M67*Assumptions!$B$3,IF(N67=2,Assumptions!$C$3*M67,""))</f>
        <v/>
      </c>
      <c r="P67" s="16">
        <v>31000000</v>
      </c>
      <c r="Q67" s="16"/>
      <c r="R67" s="114" t="s">
        <v>167</v>
      </c>
      <c r="S67" s="116">
        <f t="shared" si="4"/>
        <v>31000000</v>
      </c>
      <c r="T67" s="119" t="b">
        <f t="shared" si="6"/>
        <v>0</v>
      </c>
      <c r="U67" s="128">
        <f t="shared" si="3"/>
        <v>31000000</v>
      </c>
    </row>
    <row r="68" spans="1:21" s="85" customFormat="1" ht="26.25" x14ac:dyDescent="0.4">
      <c r="A68" s="15" t="s">
        <v>126</v>
      </c>
      <c r="B68" s="16">
        <v>27154512.178925425</v>
      </c>
      <c r="C68" s="82">
        <v>16483.2</v>
      </c>
      <c r="D68" s="82">
        <v>3060957.6</v>
      </c>
      <c r="E68" s="13">
        <v>12600322.540396938</v>
      </c>
      <c r="F68" s="82">
        <v>25672408.800000001</v>
      </c>
      <c r="G68" s="16">
        <f>VLOOKUP(A68,'NPV Analysis'!$A$9:$R$123,16)</f>
        <v>1721614.0277373972</v>
      </c>
      <c r="H68" s="83">
        <f>VLOOKUP(A68,'LRP Tier Groupings'!$A$4:D177,3)</f>
        <v>0</v>
      </c>
      <c r="I68" s="16">
        <f>VLOOKUP(A68,'NPV Analysis'!$A$9:$R$123,2)</f>
        <v>135538344.41180119</v>
      </c>
      <c r="J68" s="110">
        <f t="shared" si="0"/>
        <v>2</v>
      </c>
      <c r="K68" s="16">
        <f t="shared" si="5"/>
        <v>27170995.378925424</v>
      </c>
      <c r="L68" s="118">
        <v>265174.11045742797</v>
      </c>
      <c r="M68" s="84">
        <v>0</v>
      </c>
      <c r="N68" s="84">
        <v>0</v>
      </c>
      <c r="O68" s="16" t="str">
        <f>IF(N68=1,M68*Assumptions!$B$3,IF(N68=2,Assumptions!$C$3*M68,""))</f>
        <v/>
      </c>
      <c r="P68" s="16"/>
      <c r="Q68" s="16"/>
      <c r="R68" s="113" t="s">
        <v>247</v>
      </c>
      <c r="S68" s="116" t="str">
        <f t="shared" si="4"/>
        <v/>
      </c>
      <c r="T68" s="119" t="str">
        <f t="shared" si="6"/>
        <v>Update</v>
      </c>
      <c r="U68" s="128">
        <f t="shared" si="3"/>
        <v>27170995.378925424</v>
      </c>
    </row>
    <row r="69" spans="1:21" s="85" customFormat="1" ht="26.25" x14ac:dyDescent="0.4">
      <c r="A69" s="15" t="s">
        <v>71</v>
      </c>
      <c r="B69" s="16">
        <v>10218344.491092488</v>
      </c>
      <c r="C69" s="82">
        <v>2686764</v>
      </c>
      <c r="D69" s="82">
        <v>1958822.4</v>
      </c>
      <c r="E69" s="13">
        <v>16902492.027014624</v>
      </c>
      <c r="F69" s="82">
        <v>37403568</v>
      </c>
      <c r="G69" s="16">
        <f>VLOOKUP(A69,'NPV Analysis'!$A$9:$R$123,16)</f>
        <v>5413409.0972530134</v>
      </c>
      <c r="H69" s="83">
        <f>VLOOKUP(A69,'LRP Tier Groupings'!$A$4:D178,3)</f>
        <v>1</v>
      </c>
      <c r="I69" s="16">
        <f>VLOOKUP(A69,'NPV Analysis'!$A$9:$R$123,2)</f>
        <v>147618631.61634094</v>
      </c>
      <c r="J69" s="110">
        <f t="shared" si="0"/>
        <v>3</v>
      </c>
      <c r="K69" s="16">
        <v>0</v>
      </c>
      <c r="L69" s="118">
        <v>289000.7</v>
      </c>
      <c r="M69" s="84">
        <v>0</v>
      </c>
      <c r="N69" s="84">
        <v>0</v>
      </c>
      <c r="O69" s="16" t="str">
        <f>IF(N69=1,M69*Assumptions!$B$3,IF(N69=2,Assumptions!$C$3*M69,""))</f>
        <v/>
      </c>
      <c r="P69" s="86"/>
      <c r="Q69" s="16">
        <v>222908000</v>
      </c>
      <c r="R69" s="113" t="s">
        <v>247</v>
      </c>
      <c r="S69" s="116" t="str">
        <f t="shared" si="4"/>
        <v/>
      </c>
      <c r="T69" s="119" t="str">
        <f t="shared" si="6"/>
        <v>Update</v>
      </c>
      <c r="U69" s="128">
        <f t="shared" si="3"/>
        <v>0</v>
      </c>
    </row>
    <row r="70" spans="1:21" s="85" customFormat="1" ht="26.25" x14ac:dyDescent="0.4">
      <c r="A70" s="15" t="s">
        <v>72</v>
      </c>
      <c r="B70" s="16">
        <v>128087.92303846069</v>
      </c>
      <c r="C70" s="82">
        <v>31365.599999999999</v>
      </c>
      <c r="D70" s="82">
        <v>1291291.2</v>
      </c>
      <c r="E70" s="13">
        <v>9782318.3942628056</v>
      </c>
      <c r="F70" s="82">
        <v>2254197.6</v>
      </c>
      <c r="G70" s="16">
        <f>VLOOKUP(A70,'NPV Analysis'!$A$9:$R$123,16)</f>
        <v>1115673.9138900395</v>
      </c>
      <c r="H70" s="83">
        <f>VLOOKUP(A70,'LRP Tier Groupings'!$A$4:D179,3)</f>
        <v>0</v>
      </c>
      <c r="I70" s="16">
        <f>VLOOKUP(A70,'NPV Analysis'!$A$9:$R$123,2)</f>
        <v>17852733.824965157</v>
      </c>
      <c r="J70" s="110">
        <f t="shared" si="0"/>
        <v>2</v>
      </c>
      <c r="K70" s="16">
        <f>IF(J70=1,B70,IF(J70=2,SUM(B70:C70),IF(J70=3,SUM(B70:D70),IF(J70=4,SUM(B70:E70),IF(J70=5,SUM(B70:F70),IF(J70=6,SUM(B70:G70),0))))))</f>
        <v>159453.5230384607</v>
      </c>
      <c r="L70" s="118">
        <v>49097</v>
      </c>
      <c r="M70" s="84">
        <v>0</v>
      </c>
      <c r="N70" s="84">
        <v>0</v>
      </c>
      <c r="O70" s="16" t="str">
        <f>IF(N70=1,M70*Assumptions!$B$3,IF(N70=2,Assumptions!$C$3*M70,""))</f>
        <v/>
      </c>
      <c r="P70" s="16"/>
      <c r="Q70" s="16"/>
      <c r="R70" s="113" t="s">
        <v>247</v>
      </c>
      <c r="S70" s="116" t="str">
        <f t="shared" si="4"/>
        <v/>
      </c>
      <c r="T70" s="119" t="str">
        <f t="shared" si="6"/>
        <v>Update</v>
      </c>
      <c r="U70" s="128">
        <f t="shared" si="3"/>
        <v>159453.5230384607</v>
      </c>
    </row>
    <row r="71" spans="1:21" s="85" customFormat="1" ht="26.25" x14ac:dyDescent="0.4">
      <c r="A71" s="15" t="s">
        <v>73</v>
      </c>
      <c r="B71" s="16">
        <v>2236480.1530199721</v>
      </c>
      <c r="C71" s="82">
        <v>377673.6</v>
      </c>
      <c r="D71" s="82">
        <v>6591021.5999999996</v>
      </c>
      <c r="E71" s="13">
        <v>8831915.7324532326</v>
      </c>
      <c r="F71" s="82">
        <v>9769401.5999999996</v>
      </c>
      <c r="G71" s="16">
        <f>VLOOKUP(A71,'NPV Analysis'!$A$9:$R$123,16)</f>
        <v>0</v>
      </c>
      <c r="H71" s="83">
        <f>VLOOKUP(A71,'LRP Tier Groupings'!$A$4:D180,3)</f>
        <v>1</v>
      </c>
      <c r="I71" s="16">
        <f>VLOOKUP(A71,'NPV Analysis'!$A$9:$R$123,2)</f>
        <v>33582281.33632268</v>
      </c>
      <c r="J71" s="110">
        <f t="shared" si="0"/>
        <v>3</v>
      </c>
      <c r="K71" s="16">
        <f>IF(J71=1,B71,IF(J71=2,SUM(B71:C71),IF(J71=3,SUM(B71:D71),IF(J71=4,SUM(B71:E71),IF(J71=5,SUM(B71:F71),IF(J71=6,SUM(B71:G71),0))))))</f>
        <v>9205175.3530199714</v>
      </c>
      <c r="L71" s="118">
        <v>69827.668553748896</v>
      </c>
      <c r="M71" s="84">
        <v>85000</v>
      </c>
      <c r="N71" s="84">
        <v>1</v>
      </c>
      <c r="O71" s="16">
        <f>IF(N71=1,M71*Assumptions!$B$3,IF(N71=2,Assumptions!$C$3*M71,""))</f>
        <v>55250000</v>
      </c>
      <c r="P71" s="16">
        <v>60020368</v>
      </c>
      <c r="Q71" s="16"/>
      <c r="R71" s="114" t="s">
        <v>160</v>
      </c>
      <c r="S71" s="116">
        <f t="shared" si="4"/>
        <v>60020368</v>
      </c>
      <c r="T71" s="119" t="b">
        <f t="shared" si="6"/>
        <v>0</v>
      </c>
      <c r="U71" s="128">
        <f t="shared" si="3"/>
        <v>60020368</v>
      </c>
    </row>
    <row r="72" spans="1:21" s="85" customFormat="1" ht="26.25" x14ac:dyDescent="0.4">
      <c r="A72" s="15" t="s">
        <v>74</v>
      </c>
      <c r="B72" s="16">
        <v>795803.09013349249</v>
      </c>
      <c r="C72" s="82">
        <v>706512</v>
      </c>
      <c r="D72" s="82">
        <v>2896831.1999999997</v>
      </c>
      <c r="E72" s="13">
        <v>12519539.9064948</v>
      </c>
      <c r="F72" s="82">
        <v>12429024</v>
      </c>
      <c r="G72" s="16">
        <f>VLOOKUP(A72,'NPV Analysis'!$A$9:$R$123,16)</f>
        <v>921887.44081145886</v>
      </c>
      <c r="H72" s="83">
        <f>VLOOKUP(A72,'LRP Tier Groupings'!$A$4:D181,3)</f>
        <v>1</v>
      </c>
      <c r="I72" s="16">
        <f>VLOOKUP(A72,'NPV Analysis'!$A$9:$R$123,2)</f>
        <v>67071590.65371269</v>
      </c>
      <c r="J72" s="110">
        <f t="shared" si="0"/>
        <v>3</v>
      </c>
      <c r="K72" s="16">
        <f>IF(J72=1,B72,IF(J72=2,SUM(B72:C72),IF(J72=3,SUM(B72:D72),IF(J72=4,SUM(B72:E72),IF(J72=5,SUM(B72:F72),IF(J72=6,SUM(B72:G72),0))))))</f>
        <v>4399146.2901334921</v>
      </c>
      <c r="L72" s="118">
        <v>159789.5</v>
      </c>
      <c r="M72" s="84">
        <v>0</v>
      </c>
      <c r="N72" s="84">
        <v>0</v>
      </c>
      <c r="O72" s="16" t="str">
        <f>IF(N72=1,M72*Assumptions!$B$3,IF(N72=2,Assumptions!$C$3*M72,""))</f>
        <v/>
      </c>
      <c r="P72" s="16"/>
      <c r="Q72" s="16"/>
      <c r="R72" s="113" t="s">
        <v>247</v>
      </c>
      <c r="S72" s="116" t="str">
        <f t="shared" si="4"/>
        <v/>
      </c>
      <c r="T72" s="119" t="str">
        <f t="shared" si="6"/>
        <v>Update</v>
      </c>
      <c r="U72" s="128">
        <f t="shared" si="3"/>
        <v>4399146.2901334921</v>
      </c>
    </row>
    <row r="73" spans="1:21" s="85" customFormat="1" ht="26.25" x14ac:dyDescent="0.4">
      <c r="A73" s="15" t="s">
        <v>75</v>
      </c>
      <c r="B73" s="16">
        <v>554588.68184452737</v>
      </c>
      <c r="C73" s="82">
        <v>0</v>
      </c>
      <c r="D73" s="82">
        <v>688166.40000000002</v>
      </c>
      <c r="E73" s="13">
        <v>7414943.2657398926</v>
      </c>
      <c r="F73" s="82">
        <v>10033958.4</v>
      </c>
      <c r="G73" s="16">
        <f>VLOOKUP(A73,'NPV Analysis'!$A$9:$R$123,16)</f>
        <v>482881.92846166505</v>
      </c>
      <c r="H73" s="83">
        <f>VLOOKUP(A73,'LRP Tier Groupings'!$A$4:D182,3)</f>
        <v>0</v>
      </c>
      <c r="I73" s="16">
        <f>VLOOKUP(A73,'NPV Analysis'!$A$9:$R$123,2)</f>
        <v>25077066.205796104</v>
      </c>
      <c r="J73" s="110">
        <f t="shared" ref="J73:J123" si="7">IF(H73=0,2,H73+2)</f>
        <v>2</v>
      </c>
      <c r="K73" s="16">
        <f>IF(J73=1,B73,IF(J73=2,SUM(B73:C73),IF(J73=3,SUM(B73:D73),IF(J73=4,SUM(B73:E73),IF(J73=5,SUM(B73:F73),IF(J73=6,SUM(B73:G73),0))))))</f>
        <v>554588.68184452737</v>
      </c>
      <c r="L73" s="118">
        <v>45389.41</v>
      </c>
      <c r="M73" s="84">
        <v>0</v>
      </c>
      <c r="N73" s="84">
        <v>0</v>
      </c>
      <c r="O73" s="16" t="str">
        <f>IF(N73=1,M73*Assumptions!$B$3,IF(N73=2,Assumptions!$C$3*M73,""))</f>
        <v/>
      </c>
      <c r="P73" s="16"/>
      <c r="Q73" s="16"/>
      <c r="R73" s="113" t="s">
        <v>247</v>
      </c>
      <c r="S73" s="116" t="str">
        <f t="shared" si="4"/>
        <v/>
      </c>
      <c r="T73" s="119" t="str">
        <f t="shared" ref="T73:T104" si="8">IF(R73="yes",K73=0,"Update")</f>
        <v>Update</v>
      </c>
      <c r="U73" s="128">
        <f t="shared" si="3"/>
        <v>554588.68184452737</v>
      </c>
    </row>
    <row r="74" spans="1:21" s="85" customFormat="1" ht="26.25" x14ac:dyDescent="0.4">
      <c r="A74" s="15" t="s">
        <v>76</v>
      </c>
      <c r="B74" s="16">
        <v>1154529.9051579523</v>
      </c>
      <c r="C74" s="82">
        <v>0</v>
      </c>
      <c r="D74" s="82">
        <v>5274393.5999999996</v>
      </c>
      <c r="E74" s="13">
        <v>4087843.4907089421</v>
      </c>
      <c r="F74" s="82">
        <v>7808220</v>
      </c>
      <c r="G74" s="16">
        <f>VLOOKUP(A74,'NPV Analysis'!$A$9:$R$123,16)</f>
        <v>0</v>
      </c>
      <c r="H74" s="83">
        <f>VLOOKUP(A74,'LRP Tier Groupings'!$A$4:D183,3)</f>
        <v>1</v>
      </c>
      <c r="I74" s="16">
        <f>VLOOKUP(A74,'NPV Analysis'!$A$9:$R$123,2)</f>
        <v>38093419.691235416</v>
      </c>
      <c r="J74" s="110">
        <f t="shared" si="7"/>
        <v>3</v>
      </c>
      <c r="K74" s="16">
        <v>0</v>
      </c>
      <c r="L74" s="118">
        <v>108877.95</v>
      </c>
      <c r="M74" s="84">
        <v>0</v>
      </c>
      <c r="N74" s="84">
        <v>0</v>
      </c>
      <c r="O74" s="16" t="str">
        <f>IF(N74=1,M74*Assumptions!$B$3,IF(N74=2,Assumptions!$C$3*M74,""))</f>
        <v/>
      </c>
      <c r="P74" s="86"/>
      <c r="Q74" s="16">
        <v>105382000</v>
      </c>
      <c r="R74" s="113" t="s">
        <v>247</v>
      </c>
      <c r="S74" s="116" t="str">
        <f t="shared" si="4"/>
        <v/>
      </c>
      <c r="T74" s="119" t="str">
        <f t="shared" si="8"/>
        <v>Update</v>
      </c>
      <c r="U74" s="128">
        <f t="shared" ref="U74:U123" si="9">IF(R74="yes",S74,IF(R74="No",K74,"NG"))</f>
        <v>0</v>
      </c>
    </row>
    <row r="75" spans="1:21" s="85" customFormat="1" ht="26.25" x14ac:dyDescent="0.4">
      <c r="A75" s="15" t="s">
        <v>77</v>
      </c>
      <c r="B75" s="16">
        <v>407333.488975488</v>
      </c>
      <c r="C75" s="82">
        <v>0</v>
      </c>
      <c r="D75" s="82">
        <v>280425.59999999998</v>
      </c>
      <c r="E75" s="13">
        <v>4022360.3506113361</v>
      </c>
      <c r="F75" s="82">
        <v>1479379.2</v>
      </c>
      <c r="G75" s="16">
        <f>VLOOKUP(A75,'NPV Analysis'!$A$9:$R$123,16)</f>
        <v>288284.76278637687</v>
      </c>
      <c r="H75" s="83">
        <f>VLOOKUP(A75,'LRP Tier Groupings'!$A$4:D184,3)</f>
        <v>0</v>
      </c>
      <c r="I75" s="16">
        <f>VLOOKUP(A75,'NPV Analysis'!$A$9:$R$123,2)</f>
        <v>13078048.078102931</v>
      </c>
      <c r="J75" s="110">
        <f t="shared" si="7"/>
        <v>2</v>
      </c>
      <c r="K75" s="16">
        <f>IF(J75=1,B75,IF(J75=2,SUM(B75:C75),IF(J75=3,SUM(B75:D75),IF(J75=4,SUM(B75:E75),IF(J75=5,SUM(B75:F75),IF(J75=6,SUM(B75:G75),0))))))</f>
        <v>407333.488975488</v>
      </c>
      <c r="L75" s="118">
        <v>42123.839999999997</v>
      </c>
      <c r="M75" s="84">
        <v>0</v>
      </c>
      <c r="N75" s="84">
        <v>0</v>
      </c>
      <c r="O75" s="16" t="str">
        <f>IF(N75=1,M75*Assumptions!$B$3,IF(N75=2,Assumptions!$C$3*M75,""))</f>
        <v/>
      </c>
      <c r="P75" s="16"/>
      <c r="Q75" s="16"/>
      <c r="R75" s="113" t="s">
        <v>247</v>
      </c>
      <c r="S75" s="116" t="str">
        <f t="shared" ref="S75:S123" si="10">IF(R75="yes",SUM(P75:Q75),"")</f>
        <v/>
      </c>
      <c r="T75" s="119" t="str">
        <f t="shared" si="8"/>
        <v>Update</v>
      </c>
      <c r="U75" s="128">
        <f t="shared" si="9"/>
        <v>407333.488975488</v>
      </c>
    </row>
    <row r="76" spans="1:21" s="85" customFormat="1" ht="26.25" x14ac:dyDescent="0.4">
      <c r="A76" s="15" t="s">
        <v>78</v>
      </c>
      <c r="B76" s="16">
        <v>4328151.2071508644</v>
      </c>
      <c r="C76" s="82">
        <v>0</v>
      </c>
      <c r="D76" s="82">
        <v>627794.4</v>
      </c>
      <c r="E76" s="13">
        <v>7016705.3219020674</v>
      </c>
      <c r="F76" s="82">
        <v>5888666.3999999994</v>
      </c>
      <c r="G76" s="16">
        <f>VLOOKUP(A76,'NPV Analysis'!$A$9:$R$123,16)</f>
        <v>0</v>
      </c>
      <c r="H76" s="83">
        <f>VLOOKUP(A76,'LRP Tier Groupings'!$A$4:D185,3)</f>
        <v>1</v>
      </c>
      <c r="I76" s="16">
        <f>VLOOKUP(A76,'NPV Analysis'!$A$9:$R$123,2)</f>
        <v>22154032.645935938</v>
      </c>
      <c r="J76" s="110">
        <f t="shared" si="7"/>
        <v>3</v>
      </c>
      <c r="K76" s="16">
        <v>0</v>
      </c>
      <c r="L76" s="118">
        <v>69716.490000000005</v>
      </c>
      <c r="M76" s="84">
        <v>0</v>
      </c>
      <c r="N76" s="84">
        <v>0</v>
      </c>
      <c r="O76" s="16" t="str">
        <f>IF(N76=1,M76*Assumptions!$B$3,IF(N76=2,Assumptions!$C$3*M76,""))</f>
        <v/>
      </c>
      <c r="P76" s="86"/>
      <c r="Q76" s="16">
        <v>46022000</v>
      </c>
      <c r="R76" s="113" t="s">
        <v>247</v>
      </c>
      <c r="S76" s="116" t="str">
        <f t="shared" si="10"/>
        <v/>
      </c>
      <c r="T76" s="119" t="str">
        <f t="shared" si="8"/>
        <v>Update</v>
      </c>
      <c r="U76" s="128">
        <f t="shared" si="9"/>
        <v>0</v>
      </c>
    </row>
    <row r="77" spans="1:21" s="85" customFormat="1" ht="26.25" x14ac:dyDescent="0.4">
      <c r="A77" s="15" t="s">
        <v>79</v>
      </c>
      <c r="B77" s="16">
        <v>28079923.390810728</v>
      </c>
      <c r="C77" s="82">
        <v>252916.8</v>
      </c>
      <c r="D77" s="82">
        <v>528350.4</v>
      </c>
      <c r="E77" s="13">
        <v>32264911.956225734</v>
      </c>
      <c r="F77" s="82">
        <v>12842102.4</v>
      </c>
      <c r="G77" s="16">
        <f>VLOOKUP(A77,'NPV Analysis'!$A$9:$R$123,16)</f>
        <v>1709039.0097487762</v>
      </c>
      <c r="H77" s="83">
        <f>VLOOKUP(A77,'LRP Tier Groupings'!$A$4:D186,3)</f>
        <v>0</v>
      </c>
      <c r="I77" s="16">
        <f>VLOOKUP(A77,'NPV Analysis'!$A$9:$R$123,2)</f>
        <v>125149735.3991591</v>
      </c>
      <c r="J77" s="110">
        <f t="shared" si="7"/>
        <v>2</v>
      </c>
      <c r="K77" s="16">
        <f t="shared" ref="K77:K123" si="11">IF(J77=1,B77,IF(J77=2,SUM(B77:C77),IF(J77=3,SUM(B77:D77),IF(J77=4,SUM(B77:E77),IF(J77=5,SUM(B77:F77),IF(J77=6,SUM(B77:G77),0))))))</f>
        <v>28332840.190810729</v>
      </c>
      <c r="L77" s="118">
        <v>268779</v>
      </c>
      <c r="M77" s="84">
        <v>0</v>
      </c>
      <c r="N77" s="84">
        <v>0</v>
      </c>
      <c r="O77" s="16" t="str">
        <f>IF(N77=1,M77*Assumptions!$B$3,IF(N77=2,Assumptions!$C$3*M77,""))</f>
        <v/>
      </c>
      <c r="P77" s="16"/>
      <c r="Q77" s="16"/>
      <c r="R77" s="113" t="s">
        <v>247</v>
      </c>
      <c r="S77" s="116" t="str">
        <f t="shared" si="10"/>
        <v/>
      </c>
      <c r="T77" s="119" t="str">
        <f t="shared" si="8"/>
        <v>Update</v>
      </c>
      <c r="U77" s="128">
        <f t="shared" si="9"/>
        <v>28332840.190810729</v>
      </c>
    </row>
    <row r="78" spans="1:21" s="85" customFormat="1" ht="26.25" x14ac:dyDescent="0.4">
      <c r="A78" s="15" t="s">
        <v>80</v>
      </c>
      <c r="B78" s="16">
        <v>0</v>
      </c>
      <c r="C78" s="82">
        <v>0</v>
      </c>
      <c r="D78" s="82">
        <v>0</v>
      </c>
      <c r="E78" s="13">
        <v>0</v>
      </c>
      <c r="F78" s="82">
        <v>1056163.2</v>
      </c>
      <c r="G78" s="16">
        <f>VLOOKUP(A78,'NPV Analysis'!$A$9:$R$123,16)</f>
        <v>0</v>
      </c>
      <c r="H78" s="83">
        <f>VLOOKUP(A78,'LRP Tier Groupings'!$A$4:D187,3)</f>
        <v>0</v>
      </c>
      <c r="I78" s="16">
        <f>VLOOKUP(A78,'NPV Analysis'!$A$9:$R$123,2)</f>
        <v>7277389.9136549309</v>
      </c>
      <c r="J78" s="110">
        <f t="shared" si="7"/>
        <v>2</v>
      </c>
      <c r="K78" s="16">
        <f t="shared" si="11"/>
        <v>0</v>
      </c>
      <c r="L78" s="118">
        <v>80894.740000000005</v>
      </c>
      <c r="M78" s="84">
        <v>0</v>
      </c>
      <c r="N78" s="84">
        <v>0</v>
      </c>
      <c r="O78" s="16" t="str">
        <f>IF(N78=1,M78*Assumptions!$B$3,IF(N78=2,Assumptions!$C$3*M78,""))</f>
        <v/>
      </c>
      <c r="P78" s="16"/>
      <c r="Q78" s="16"/>
      <c r="R78" s="113" t="s">
        <v>247</v>
      </c>
      <c r="S78" s="116" t="str">
        <f t="shared" si="10"/>
        <v/>
      </c>
      <c r="T78" s="119" t="str">
        <f t="shared" si="8"/>
        <v>Update</v>
      </c>
      <c r="U78" s="128">
        <f t="shared" si="9"/>
        <v>0</v>
      </c>
    </row>
    <row r="79" spans="1:21" s="85" customFormat="1" ht="26.25" x14ac:dyDescent="0.4">
      <c r="A79" s="15" t="s">
        <v>81</v>
      </c>
      <c r="B79" s="16">
        <v>3399876.0025426848</v>
      </c>
      <c r="C79" s="82">
        <v>1206823.2</v>
      </c>
      <c r="D79" s="82">
        <v>2196446.4</v>
      </c>
      <c r="E79" s="13">
        <v>12946481.20579079</v>
      </c>
      <c r="F79" s="82">
        <v>22982575.199999999</v>
      </c>
      <c r="G79" s="16">
        <f>VLOOKUP(A79,'NPV Analysis'!$A$9:$R$123,16)</f>
        <v>2693003.2248928417</v>
      </c>
      <c r="H79" s="83">
        <f>VLOOKUP(A79,'LRP Tier Groupings'!$A$4:D188,3)</f>
        <v>1</v>
      </c>
      <c r="I79" s="16">
        <f>VLOOKUP(A79,'NPV Analysis'!$A$9:$R$123,2)</f>
        <v>72810632.874203622</v>
      </c>
      <c r="J79" s="110">
        <f t="shared" si="7"/>
        <v>3</v>
      </c>
      <c r="K79" s="16">
        <f t="shared" si="11"/>
        <v>6803145.6025426853</v>
      </c>
      <c r="L79" s="118">
        <v>173202.99</v>
      </c>
      <c r="M79" s="84">
        <v>0</v>
      </c>
      <c r="N79" s="84">
        <v>0</v>
      </c>
      <c r="O79" s="16" t="str">
        <f>IF(N79=1,M79*Assumptions!$B$3,IF(N79=2,Assumptions!$C$3*M79,""))</f>
        <v/>
      </c>
      <c r="P79" s="86"/>
      <c r="Q79" s="16">
        <v>105382000</v>
      </c>
      <c r="R79" s="113" t="s">
        <v>247</v>
      </c>
      <c r="S79" s="116" t="str">
        <f t="shared" si="10"/>
        <v/>
      </c>
      <c r="T79" s="119" t="str">
        <f t="shared" si="8"/>
        <v>Update</v>
      </c>
      <c r="U79" s="128">
        <f t="shared" si="9"/>
        <v>6803145.6025426853</v>
      </c>
    </row>
    <row r="80" spans="1:21" s="85" customFormat="1" ht="26.25" x14ac:dyDescent="0.4">
      <c r="A80" s="15" t="s">
        <v>82</v>
      </c>
      <c r="B80" s="16">
        <v>1312692.4455806476</v>
      </c>
      <c r="C80" s="82">
        <v>0</v>
      </c>
      <c r="D80" s="82">
        <v>1267845.5999999999</v>
      </c>
      <c r="E80" s="13">
        <v>9483836.665864097</v>
      </c>
      <c r="F80" s="82">
        <v>6510391.2000000002</v>
      </c>
      <c r="G80" s="16">
        <f>VLOOKUP(A80,'NPV Analysis'!$A$9:$R$123,16)</f>
        <v>58277.039566359941</v>
      </c>
      <c r="H80" s="83">
        <f>VLOOKUP(A80,'LRP Tier Groupings'!$A$4:D189,3)</f>
        <v>0</v>
      </c>
      <c r="I80" s="16">
        <f>VLOOKUP(A80,'NPV Analysis'!$A$9:$R$123,2)</f>
        <v>24150299.275141567</v>
      </c>
      <c r="J80" s="110">
        <f t="shared" si="7"/>
        <v>2</v>
      </c>
      <c r="K80" s="16">
        <f t="shared" si="11"/>
        <v>1312692.4455806476</v>
      </c>
      <c r="L80" s="118">
        <v>61903.839999999997</v>
      </c>
      <c r="M80" s="84">
        <v>0</v>
      </c>
      <c r="N80" s="84">
        <v>0</v>
      </c>
      <c r="O80" s="16" t="str">
        <f>IF(N80=1,M80*Assumptions!$B$3,IF(N80=2,Assumptions!$C$3*M80,""))</f>
        <v/>
      </c>
      <c r="P80" s="16"/>
      <c r="Q80" s="16"/>
      <c r="R80" s="113" t="s">
        <v>247</v>
      </c>
      <c r="S80" s="116" t="str">
        <f t="shared" si="10"/>
        <v/>
      </c>
      <c r="T80" s="119" t="str">
        <f t="shared" si="8"/>
        <v>Update</v>
      </c>
      <c r="U80" s="128">
        <f t="shared" si="9"/>
        <v>1312692.4455806476</v>
      </c>
    </row>
    <row r="81" spans="1:21" s="85" customFormat="1" ht="26.25" x14ac:dyDescent="0.4">
      <c r="A81" s="15" t="s">
        <v>83</v>
      </c>
      <c r="B81" s="16">
        <v>2914089.8976000003</v>
      </c>
      <c r="C81" s="82">
        <v>597842.4</v>
      </c>
      <c r="D81" s="82">
        <v>12316392</v>
      </c>
      <c r="E81" s="13">
        <v>3613359.2122743726</v>
      </c>
      <c r="F81" s="82">
        <v>15806620.799999999</v>
      </c>
      <c r="G81" s="16">
        <f>VLOOKUP(A81,'NPV Analysis'!$A$9:$R$123,16)</f>
        <v>1916526.8065610216</v>
      </c>
      <c r="H81" s="83">
        <f>VLOOKUP(A81,'LRP Tier Groupings'!$A$4:D190,3)</f>
        <v>0</v>
      </c>
      <c r="I81" s="16">
        <f>VLOOKUP(A81,'NPV Analysis'!$A$9:$R$123,2)</f>
        <v>56198647.639322199</v>
      </c>
      <c r="J81" s="110">
        <f t="shared" si="7"/>
        <v>2</v>
      </c>
      <c r="K81" s="16">
        <f t="shared" si="11"/>
        <v>3511932.2976000002</v>
      </c>
      <c r="L81" s="118">
        <v>126115</v>
      </c>
      <c r="M81" s="84">
        <v>0</v>
      </c>
      <c r="N81" s="84">
        <v>0</v>
      </c>
      <c r="O81" s="16" t="str">
        <f>IF(N81=1,M81*Assumptions!$B$3,IF(N81=2,Assumptions!$C$3*M81,""))</f>
        <v/>
      </c>
      <c r="P81" s="16"/>
      <c r="Q81" s="16"/>
      <c r="R81" s="113" t="s">
        <v>247</v>
      </c>
      <c r="S81" s="116" t="str">
        <f t="shared" si="10"/>
        <v/>
      </c>
      <c r="T81" s="119" t="str">
        <f t="shared" si="8"/>
        <v>Update</v>
      </c>
      <c r="U81" s="128">
        <f t="shared" si="9"/>
        <v>3511932.2976000002</v>
      </c>
    </row>
    <row r="82" spans="1:21" s="85" customFormat="1" ht="26.25" x14ac:dyDescent="0.4">
      <c r="A82" s="15" t="s">
        <v>84</v>
      </c>
      <c r="B82" s="16">
        <v>10600970.964525569</v>
      </c>
      <c r="C82" s="82">
        <v>1060077.5999999999</v>
      </c>
      <c r="D82" s="82">
        <v>8179077.5999999996</v>
      </c>
      <c r="E82" s="13">
        <v>14337419.850436142</v>
      </c>
      <c r="F82" s="82">
        <v>26953161.599999998</v>
      </c>
      <c r="G82" s="16">
        <f>VLOOKUP(A82,'NPV Analysis'!$A$9:$R$123,16)</f>
        <v>461890.55985073873</v>
      </c>
      <c r="H82" s="83">
        <f>VLOOKUP(A82,'LRP Tier Groupings'!$A$4:D191,3)</f>
        <v>1</v>
      </c>
      <c r="I82" s="16">
        <f>VLOOKUP(A82,'NPV Analysis'!$A$9:$R$123,2)</f>
        <v>96402541.751354292</v>
      </c>
      <c r="J82" s="110">
        <f t="shared" si="7"/>
        <v>3</v>
      </c>
      <c r="K82" s="16">
        <f t="shared" si="11"/>
        <v>19840126.164525568</v>
      </c>
      <c r="L82" s="118">
        <v>286001</v>
      </c>
      <c r="M82" s="84">
        <v>150000</v>
      </c>
      <c r="N82" s="84">
        <v>1</v>
      </c>
      <c r="O82" s="16">
        <f>IF(N82=1,M82*Assumptions!$B$3,IF(N82=2,Assumptions!$C$3*M82,""))</f>
        <v>97500000</v>
      </c>
      <c r="P82" s="86"/>
      <c r="Q82" s="16">
        <v>128897000</v>
      </c>
      <c r="R82" s="113" t="s">
        <v>247</v>
      </c>
      <c r="S82" s="116" t="str">
        <f t="shared" si="10"/>
        <v/>
      </c>
      <c r="T82" s="119" t="str">
        <f t="shared" si="8"/>
        <v>Update</v>
      </c>
      <c r="U82" s="128">
        <f t="shared" si="9"/>
        <v>19840126.164525568</v>
      </c>
    </row>
    <row r="83" spans="1:21" s="85" customFormat="1" ht="26.25" x14ac:dyDescent="0.4">
      <c r="A83" s="15" t="s">
        <v>85</v>
      </c>
      <c r="B83" s="16">
        <v>0</v>
      </c>
      <c r="C83" s="82">
        <v>0</v>
      </c>
      <c r="D83" s="82">
        <v>0</v>
      </c>
      <c r="E83" s="13">
        <v>0</v>
      </c>
      <c r="F83" s="82">
        <v>0</v>
      </c>
      <c r="G83" s="16">
        <f>VLOOKUP(A83,'NPV Analysis'!$A$9:$R$123,16)</f>
        <v>0</v>
      </c>
      <c r="H83" s="83">
        <f>VLOOKUP(A83,'LRP Tier Groupings'!$A$4:D192,3)</f>
        <v>1</v>
      </c>
      <c r="I83" s="16">
        <f>VLOOKUP(A83,'NPV Analysis'!$A$9:$R$123,2)</f>
        <v>10778545.589895105</v>
      </c>
      <c r="J83" s="110">
        <f t="shared" si="7"/>
        <v>3</v>
      </c>
      <c r="K83" s="16">
        <f t="shared" si="11"/>
        <v>0</v>
      </c>
      <c r="L83" s="118">
        <v>75303</v>
      </c>
      <c r="M83" s="84">
        <v>0</v>
      </c>
      <c r="N83" s="84">
        <v>0</v>
      </c>
      <c r="O83" s="16" t="str">
        <f>IF(N83=1,M83*Assumptions!$B$3,IF(N83=2,Assumptions!$C$3*M83,""))</f>
        <v/>
      </c>
      <c r="P83" s="16"/>
      <c r="Q83" s="16"/>
      <c r="R83" s="113" t="s">
        <v>247</v>
      </c>
      <c r="S83" s="116" t="str">
        <f t="shared" si="10"/>
        <v/>
      </c>
      <c r="T83" s="119" t="str">
        <f t="shared" si="8"/>
        <v>Update</v>
      </c>
      <c r="U83" s="128">
        <f t="shared" si="9"/>
        <v>0</v>
      </c>
    </row>
    <row r="84" spans="1:21" s="85" customFormat="1" ht="26.25" x14ac:dyDescent="0.4">
      <c r="A84" s="15" t="s">
        <v>86</v>
      </c>
      <c r="B84" s="16">
        <v>5130788.5723145399</v>
      </c>
      <c r="C84" s="82">
        <v>60141.599999999999</v>
      </c>
      <c r="D84" s="82">
        <v>4115474.4</v>
      </c>
      <c r="E84" s="13">
        <v>8078875.6905211825</v>
      </c>
      <c r="F84" s="82">
        <v>18447072</v>
      </c>
      <c r="G84" s="16">
        <f>VLOOKUP(A84,'NPV Analysis'!$A$9:$R$123,16)</f>
        <v>10836.051426218142</v>
      </c>
      <c r="H84" s="83">
        <f>VLOOKUP(A84,'LRP Tier Groupings'!$A$4:D193,3)</f>
        <v>1</v>
      </c>
      <c r="I84" s="16">
        <f>VLOOKUP(A84,'NPV Analysis'!$A$9:$R$123,2)</f>
        <v>113613335.70213105</v>
      </c>
      <c r="J84" s="110">
        <f t="shared" si="7"/>
        <v>3</v>
      </c>
      <c r="K84" s="16">
        <f t="shared" si="11"/>
        <v>9306404.5723145399</v>
      </c>
      <c r="L84" s="118">
        <v>254878.6</v>
      </c>
      <c r="M84" s="84">
        <v>150000</v>
      </c>
      <c r="N84" s="84">
        <v>1</v>
      </c>
      <c r="O84" s="16">
        <f>IF(N84=1,M84*Assumptions!$B$3,IF(N84=2,Assumptions!$C$3*M84,""))</f>
        <v>97500000</v>
      </c>
      <c r="P84" s="16">
        <v>128897000</v>
      </c>
      <c r="Q84" s="16"/>
      <c r="R84" s="114" t="s">
        <v>160</v>
      </c>
      <c r="S84" s="116">
        <f t="shared" si="10"/>
        <v>128897000</v>
      </c>
      <c r="T84" s="119" t="b">
        <f t="shared" si="8"/>
        <v>0</v>
      </c>
      <c r="U84" s="128">
        <f t="shared" si="9"/>
        <v>128897000</v>
      </c>
    </row>
    <row r="85" spans="1:21" s="85" customFormat="1" ht="26.25" x14ac:dyDescent="0.4">
      <c r="A85" s="15" t="s">
        <v>87</v>
      </c>
      <c r="B85" s="16">
        <v>4219583.3414715547</v>
      </c>
      <c r="C85" s="82">
        <v>0</v>
      </c>
      <c r="D85" s="82">
        <v>14355919.199999999</v>
      </c>
      <c r="E85" s="13">
        <v>14937522.221398376</v>
      </c>
      <c r="F85" s="82">
        <v>15608407.199999999</v>
      </c>
      <c r="G85" s="16">
        <f>VLOOKUP(A85,'NPV Analysis'!$A$9:$R$123,16)</f>
        <v>0</v>
      </c>
      <c r="H85" s="83">
        <f>VLOOKUP(A85,'LRP Tier Groupings'!$A$4:D194,3)</f>
        <v>0</v>
      </c>
      <c r="I85" s="16">
        <f>VLOOKUP(A85,'NPV Analysis'!$A$9:$R$123,2)</f>
        <v>62249818.033577889</v>
      </c>
      <c r="J85" s="110">
        <f t="shared" si="7"/>
        <v>2</v>
      </c>
      <c r="K85" s="16">
        <f t="shared" si="11"/>
        <v>4219583.3414715547</v>
      </c>
      <c r="L85" s="118">
        <v>123693.82</v>
      </c>
      <c r="M85" s="84">
        <v>0</v>
      </c>
      <c r="N85" s="84">
        <v>0</v>
      </c>
      <c r="O85" s="16" t="str">
        <f>IF(N85=1,M85*Assumptions!$B$3,IF(N85=2,Assumptions!$C$3*M85,""))</f>
        <v/>
      </c>
      <c r="P85" s="16"/>
      <c r="Q85" s="16"/>
      <c r="R85" s="113" t="s">
        <v>247</v>
      </c>
      <c r="S85" s="116" t="str">
        <f t="shared" si="10"/>
        <v/>
      </c>
      <c r="T85" s="119" t="str">
        <f t="shared" si="8"/>
        <v>Update</v>
      </c>
      <c r="U85" s="128">
        <f t="shared" si="9"/>
        <v>4219583.3414715547</v>
      </c>
    </row>
    <row r="86" spans="1:21" s="85" customFormat="1" ht="26.25" x14ac:dyDescent="0.4">
      <c r="A86" s="15" t="s">
        <v>88</v>
      </c>
      <c r="B86" s="16">
        <v>4903305.3953820104</v>
      </c>
      <c r="C86" s="82">
        <v>480355.19999999995</v>
      </c>
      <c r="D86" s="82">
        <v>2517489.6</v>
      </c>
      <c r="E86" s="13">
        <v>14332196.814211432</v>
      </c>
      <c r="F86" s="82">
        <v>9262212</v>
      </c>
      <c r="G86" s="16">
        <f>VLOOKUP(A86,'NPV Analysis'!$A$9:$R$123,16)</f>
        <v>1054816.2726990464</v>
      </c>
      <c r="H86" s="83">
        <f>VLOOKUP(A86,'LRP Tier Groupings'!$A$4:D195,3)</f>
        <v>0</v>
      </c>
      <c r="I86" s="16">
        <f>VLOOKUP(A86,'NPV Analysis'!$A$9:$R$123,2)</f>
        <v>37296376.2734157</v>
      </c>
      <c r="J86" s="110">
        <f t="shared" si="7"/>
        <v>2</v>
      </c>
      <c r="K86" s="16">
        <f t="shared" si="11"/>
        <v>5383660.5953820106</v>
      </c>
      <c r="L86" s="118">
        <v>59048</v>
      </c>
      <c r="M86" s="84">
        <v>0</v>
      </c>
      <c r="N86" s="84">
        <v>0</v>
      </c>
      <c r="O86" s="16" t="str">
        <f>IF(N86=1,M86*Assumptions!$B$3,IF(N86=2,Assumptions!$C$3*M86,""))</f>
        <v/>
      </c>
      <c r="P86" s="16"/>
      <c r="Q86" s="16"/>
      <c r="R86" s="113" t="s">
        <v>247</v>
      </c>
      <c r="S86" s="116" t="str">
        <f t="shared" si="10"/>
        <v/>
      </c>
      <c r="T86" s="119" t="str">
        <f t="shared" si="8"/>
        <v>Update</v>
      </c>
      <c r="U86" s="128">
        <f t="shared" si="9"/>
        <v>5383660.5953820106</v>
      </c>
    </row>
    <row r="87" spans="1:21" s="85" customFormat="1" ht="26.25" x14ac:dyDescent="0.4">
      <c r="A87" s="15" t="s">
        <v>89</v>
      </c>
      <c r="B87" s="16">
        <v>2334398.2470024899</v>
      </c>
      <c r="C87" s="82">
        <v>275332.8</v>
      </c>
      <c r="D87" s="82">
        <v>4432670.3999999994</v>
      </c>
      <c r="E87" s="13">
        <v>8259905.887512017</v>
      </c>
      <c r="F87" s="82">
        <v>3698325.6</v>
      </c>
      <c r="G87" s="16">
        <f>VLOOKUP(A87,'NPV Analysis'!$A$9:$R$123,16)</f>
        <v>544426.492387273</v>
      </c>
      <c r="H87" s="83">
        <f>VLOOKUP(A87,'LRP Tier Groupings'!$A$4:D196,3)</f>
        <v>1</v>
      </c>
      <c r="I87" s="16">
        <f>VLOOKUP(A87,'NPV Analysis'!$A$9:$R$123,2)</f>
        <v>30206100.874392439</v>
      </c>
      <c r="J87" s="110">
        <f t="shared" si="7"/>
        <v>3</v>
      </c>
      <c r="K87" s="16">
        <f t="shared" si="11"/>
        <v>7042401.4470024891</v>
      </c>
      <c r="L87" s="118">
        <v>47101.84</v>
      </c>
      <c r="M87" s="84">
        <v>85000</v>
      </c>
      <c r="N87" s="84">
        <v>1</v>
      </c>
      <c r="O87" s="16">
        <f>IF(N87=1,M87*Assumptions!$B$3,IF(N87=2,Assumptions!$C$3*M87,""))</f>
        <v>55250000</v>
      </c>
      <c r="P87" s="16">
        <v>46022000</v>
      </c>
      <c r="Q87" s="16"/>
      <c r="R87" s="114" t="s">
        <v>160</v>
      </c>
      <c r="S87" s="116">
        <f t="shared" si="10"/>
        <v>46022000</v>
      </c>
      <c r="T87" s="119" t="b">
        <f t="shared" si="8"/>
        <v>0</v>
      </c>
      <c r="U87" s="128">
        <f t="shared" si="9"/>
        <v>46022000</v>
      </c>
    </row>
    <row r="88" spans="1:21" s="85" customFormat="1" ht="26.25" x14ac:dyDescent="0.4">
      <c r="A88" s="15" t="s">
        <v>90</v>
      </c>
      <c r="B88" s="16">
        <v>410702.02063856355</v>
      </c>
      <c r="C88" s="82">
        <v>364094.39999999997</v>
      </c>
      <c r="D88" s="82">
        <v>6224126.3999999994</v>
      </c>
      <c r="E88" s="13">
        <v>10653885.593025763</v>
      </c>
      <c r="F88" s="82">
        <v>11953312.799999999</v>
      </c>
      <c r="G88" s="16">
        <f>VLOOKUP(A88,'NPV Analysis'!$A$9:$R$123,16)</f>
        <v>0</v>
      </c>
      <c r="H88" s="83">
        <f>VLOOKUP(A88,'LRP Tier Groupings'!$A$4:D197,3)</f>
        <v>1</v>
      </c>
      <c r="I88" s="16">
        <f>VLOOKUP(A88,'NPV Analysis'!$A$9:$R$123,2)</f>
        <v>34571137.041629389</v>
      </c>
      <c r="J88" s="110">
        <f t="shared" si="7"/>
        <v>3</v>
      </c>
      <c r="K88" s="16">
        <f t="shared" si="11"/>
        <v>6998922.8206385635</v>
      </c>
      <c r="L88" s="118">
        <v>65910.97</v>
      </c>
      <c r="M88" s="84">
        <v>85000</v>
      </c>
      <c r="N88" s="84">
        <v>1</v>
      </c>
      <c r="O88" s="16">
        <f>IF(N88=1,M88*Assumptions!$B$3,IF(N88=2,Assumptions!$C$3*M88,""))</f>
        <v>55250000</v>
      </c>
      <c r="P88" s="16"/>
      <c r="Q88" s="16"/>
      <c r="R88" s="113" t="s">
        <v>247</v>
      </c>
      <c r="S88" s="116" t="str">
        <f t="shared" si="10"/>
        <v/>
      </c>
      <c r="T88" s="119" t="str">
        <f t="shared" si="8"/>
        <v>Update</v>
      </c>
      <c r="U88" s="128">
        <f t="shared" si="9"/>
        <v>6998922.8206385635</v>
      </c>
    </row>
    <row r="89" spans="1:21" s="85" customFormat="1" ht="26.25" x14ac:dyDescent="0.4">
      <c r="A89" s="15" t="s">
        <v>91</v>
      </c>
      <c r="B89" s="16">
        <v>3239695.8933775974</v>
      </c>
      <c r="C89" s="82">
        <v>79668</v>
      </c>
      <c r="D89" s="82">
        <v>2620272</v>
      </c>
      <c r="E89" s="13">
        <v>2369340.4390731701</v>
      </c>
      <c r="F89" s="82">
        <v>7087941.5999999996</v>
      </c>
      <c r="G89" s="16">
        <f>VLOOKUP(A89,'NPV Analysis'!$A$9:$R$123,16)</f>
        <v>55182.793014041796</v>
      </c>
      <c r="H89" s="83">
        <f>VLOOKUP(A89,'LRP Tier Groupings'!$A$4:D198,3)</f>
        <v>1</v>
      </c>
      <c r="I89" s="16">
        <f>VLOOKUP(A89,'NPV Analysis'!$A$9:$R$123,2)</f>
        <v>25042738.121740442</v>
      </c>
      <c r="J89" s="110">
        <f t="shared" si="7"/>
        <v>3</v>
      </c>
      <c r="K89" s="16">
        <f t="shared" si="11"/>
        <v>5939635.8933775974</v>
      </c>
      <c r="L89" s="118">
        <v>47771.82</v>
      </c>
      <c r="M89" s="84">
        <v>0</v>
      </c>
      <c r="N89" s="84">
        <v>0</v>
      </c>
      <c r="O89" s="16" t="str">
        <f>IF(N89=1,M89*Assumptions!$B$3,IF(N89=2,Assumptions!$C$3*M89,""))</f>
        <v/>
      </c>
      <c r="P89" s="86"/>
      <c r="Q89" s="16">
        <v>46022000</v>
      </c>
      <c r="R89" s="113" t="s">
        <v>247</v>
      </c>
      <c r="S89" s="116" t="str">
        <f t="shared" si="10"/>
        <v/>
      </c>
      <c r="T89" s="119" t="str">
        <f t="shared" si="8"/>
        <v>Update</v>
      </c>
      <c r="U89" s="128">
        <f t="shared" si="9"/>
        <v>5939635.8933775974</v>
      </c>
    </row>
    <row r="90" spans="1:21" s="85" customFormat="1" ht="26.25" x14ac:dyDescent="0.4">
      <c r="A90" s="15" t="s">
        <v>92</v>
      </c>
      <c r="B90" s="16">
        <v>1353705.8220789121</v>
      </c>
      <c r="C90" s="82">
        <v>0</v>
      </c>
      <c r="D90" s="82">
        <v>2494946.4</v>
      </c>
      <c r="E90" s="13">
        <v>2227235.723761674</v>
      </c>
      <c r="F90" s="82">
        <v>9657175.1999999993</v>
      </c>
      <c r="G90" s="16">
        <f>VLOOKUP(A90,'NPV Analysis'!$A$9:$R$123,16)</f>
        <v>0</v>
      </c>
      <c r="H90" s="83">
        <f>VLOOKUP(A90,'LRP Tier Groupings'!$A$4:D199,3)</f>
        <v>1</v>
      </c>
      <c r="I90" s="16">
        <f>VLOOKUP(A90,'NPV Analysis'!$A$9:$R$123,2)</f>
        <v>21134521.388303868</v>
      </c>
      <c r="J90" s="110">
        <f t="shared" si="7"/>
        <v>3</v>
      </c>
      <c r="K90" s="16">
        <f t="shared" si="11"/>
        <v>3848652.222078912</v>
      </c>
      <c r="L90" s="118">
        <v>83405.039999999994</v>
      </c>
      <c r="M90" s="84">
        <v>0</v>
      </c>
      <c r="N90" s="84">
        <v>0</v>
      </c>
      <c r="O90" s="16" t="str">
        <f>IF(N90=1,M90*Assumptions!$B$3,IF(N90=2,Assumptions!$C$3*M90,""))</f>
        <v/>
      </c>
      <c r="P90" s="16"/>
      <c r="Q90" s="16"/>
      <c r="R90" s="113" t="s">
        <v>247</v>
      </c>
      <c r="S90" s="116" t="str">
        <f t="shared" si="10"/>
        <v/>
      </c>
      <c r="T90" s="119" t="str">
        <f t="shared" si="8"/>
        <v>Update</v>
      </c>
      <c r="U90" s="128">
        <f t="shared" si="9"/>
        <v>3848652.222078912</v>
      </c>
    </row>
    <row r="91" spans="1:21" s="85" customFormat="1" ht="26.25" x14ac:dyDescent="0.4">
      <c r="A91" s="15" t="s">
        <v>93</v>
      </c>
      <c r="B91" s="16">
        <v>0</v>
      </c>
      <c r="C91" s="82">
        <v>0</v>
      </c>
      <c r="D91" s="82">
        <v>0</v>
      </c>
      <c r="E91" s="13">
        <v>689938.56590049504</v>
      </c>
      <c r="F91" s="82">
        <v>5089036.8</v>
      </c>
      <c r="G91" s="16">
        <f>VLOOKUP(A91,'NPV Analysis'!$A$9:$R$123,16)</f>
        <v>0</v>
      </c>
      <c r="H91" s="83">
        <f>VLOOKUP(A91,'LRP Tier Groupings'!$A$4:D200,3)</f>
        <v>1</v>
      </c>
      <c r="I91" s="16">
        <f>VLOOKUP(A91,'NPV Analysis'!$A$9:$R$123,2)</f>
        <v>12148336.516460942</v>
      </c>
      <c r="J91" s="110">
        <f t="shared" si="7"/>
        <v>3</v>
      </c>
      <c r="K91" s="16">
        <f t="shared" si="11"/>
        <v>0</v>
      </c>
      <c r="L91" s="118">
        <v>147373</v>
      </c>
      <c r="M91" s="84">
        <v>0</v>
      </c>
      <c r="N91" s="84">
        <v>0</v>
      </c>
      <c r="O91" s="16" t="str">
        <f>IF(N91=1,M91*Assumptions!$B$3,IF(N91=2,Assumptions!$C$3*M91,""))</f>
        <v/>
      </c>
      <c r="P91" s="16"/>
      <c r="Q91" s="16"/>
      <c r="R91" s="113" t="s">
        <v>247</v>
      </c>
      <c r="S91" s="116" t="str">
        <f t="shared" si="10"/>
        <v/>
      </c>
      <c r="T91" s="119" t="str">
        <f t="shared" si="8"/>
        <v>Update</v>
      </c>
      <c r="U91" s="128">
        <f t="shared" si="9"/>
        <v>0</v>
      </c>
    </row>
    <row r="92" spans="1:21" s="85" customFormat="1" ht="26.25" x14ac:dyDescent="0.4">
      <c r="A92" s="15" t="s">
        <v>94</v>
      </c>
      <c r="B92" s="16">
        <v>3889770.8641537186</v>
      </c>
      <c r="C92" s="82">
        <v>0</v>
      </c>
      <c r="D92" s="82">
        <v>3563928</v>
      </c>
      <c r="E92" s="13">
        <v>12197444.862437747</v>
      </c>
      <c r="F92" s="82">
        <v>4800081.5999999996</v>
      </c>
      <c r="G92" s="16">
        <f>VLOOKUP(A92,'NPV Analysis'!$A$9:$R$123,16)</f>
        <v>3102557.6985576712</v>
      </c>
      <c r="H92" s="83">
        <f>VLOOKUP(A92,'LRP Tier Groupings'!$A$4:D201,3)</f>
        <v>1</v>
      </c>
      <c r="I92" s="16">
        <f>VLOOKUP(A92,'NPV Analysis'!$A$9:$R$123,2)</f>
        <v>50860309.044054031</v>
      </c>
      <c r="J92" s="110">
        <f t="shared" si="7"/>
        <v>3</v>
      </c>
      <c r="K92" s="16">
        <f t="shared" si="11"/>
        <v>7453698.8641537186</v>
      </c>
      <c r="L92" s="118">
        <v>79081.53</v>
      </c>
      <c r="M92" s="84">
        <v>0</v>
      </c>
      <c r="N92" s="84">
        <v>0</v>
      </c>
      <c r="O92" s="16" t="str">
        <f>IF(N92=1,M92*Assumptions!$B$3,IF(N92=2,Assumptions!$C$3*M92,""))</f>
        <v/>
      </c>
      <c r="P92" s="16"/>
      <c r="Q92" s="16"/>
      <c r="R92" s="113" t="s">
        <v>247</v>
      </c>
      <c r="S92" s="116" t="str">
        <f t="shared" si="10"/>
        <v/>
      </c>
      <c r="T92" s="119" t="str">
        <f t="shared" si="8"/>
        <v>Update</v>
      </c>
      <c r="U92" s="128">
        <f t="shared" si="9"/>
        <v>7453698.8641537186</v>
      </c>
    </row>
    <row r="93" spans="1:21" s="85" customFormat="1" ht="26.25" x14ac:dyDescent="0.4">
      <c r="A93" s="15" t="s">
        <v>95</v>
      </c>
      <c r="B93" s="16">
        <v>5558044.5650348673</v>
      </c>
      <c r="C93" s="82">
        <v>32966.400000000001</v>
      </c>
      <c r="D93" s="82">
        <v>5202657.5999999996</v>
      </c>
      <c r="E93" s="13">
        <v>10090235.448328111</v>
      </c>
      <c r="F93" s="82">
        <v>13881542.4</v>
      </c>
      <c r="G93" s="16">
        <f>VLOOKUP(A93,'NPV Analysis'!$A$9:$R$123,16)</f>
        <v>5518706.3074284</v>
      </c>
      <c r="H93" s="83">
        <f>VLOOKUP(A93,'LRP Tier Groupings'!$A$4:D202,3)</f>
        <v>0</v>
      </c>
      <c r="I93" s="16">
        <f>VLOOKUP(A93,'NPV Analysis'!$A$9:$R$123,2)</f>
        <v>59066489.352365129</v>
      </c>
      <c r="J93" s="110">
        <f t="shared" si="7"/>
        <v>2</v>
      </c>
      <c r="K93" s="16">
        <f t="shared" si="11"/>
        <v>5591010.9650348676</v>
      </c>
      <c r="L93" s="118">
        <v>150099</v>
      </c>
      <c r="M93" s="84">
        <v>0</v>
      </c>
      <c r="N93" s="84">
        <v>0</v>
      </c>
      <c r="O93" s="16" t="str">
        <f>IF(N93=1,M93*Assumptions!$B$3,IF(N93=2,Assumptions!$C$3*M93,""))</f>
        <v/>
      </c>
      <c r="P93" s="16"/>
      <c r="Q93" s="16"/>
      <c r="R93" s="113" t="s">
        <v>247</v>
      </c>
      <c r="S93" s="116" t="str">
        <f t="shared" si="10"/>
        <v/>
      </c>
      <c r="T93" s="119" t="str">
        <f t="shared" si="8"/>
        <v>Update</v>
      </c>
      <c r="U93" s="128">
        <f t="shared" si="9"/>
        <v>5591010.9650348676</v>
      </c>
    </row>
    <row r="94" spans="1:21" s="85" customFormat="1" ht="26.25" x14ac:dyDescent="0.4">
      <c r="A94" s="15" t="s">
        <v>96</v>
      </c>
      <c r="B94" s="16">
        <v>3385968.3505756008</v>
      </c>
      <c r="C94" s="82">
        <v>713532</v>
      </c>
      <c r="D94" s="82">
        <v>1617194.4</v>
      </c>
      <c r="E94" s="13">
        <v>12779253.835827425</v>
      </c>
      <c r="F94" s="82">
        <v>2622319.1999999997</v>
      </c>
      <c r="G94" s="16">
        <f>VLOOKUP(A94,'NPV Analysis'!$A$9:$R$123,16)</f>
        <v>1589712.4857051792</v>
      </c>
      <c r="H94" s="83">
        <f>VLOOKUP(A94,'LRP Tier Groupings'!$A$4:D203,3)</f>
        <v>0</v>
      </c>
      <c r="I94" s="16">
        <f>VLOOKUP(A94,'NPV Analysis'!$A$9:$R$123,2)</f>
        <v>31990955.398950286</v>
      </c>
      <c r="J94" s="110">
        <f t="shared" si="7"/>
        <v>2</v>
      </c>
      <c r="K94" s="16">
        <f t="shared" si="11"/>
        <v>4099500.3505756008</v>
      </c>
      <c r="L94" s="118">
        <v>79282</v>
      </c>
      <c r="M94" s="84">
        <v>0</v>
      </c>
      <c r="N94" s="84">
        <v>0</v>
      </c>
      <c r="O94" s="16" t="str">
        <f>IF(N94=1,M94*Assumptions!$B$3,IF(N94=2,Assumptions!$C$3*M94,""))</f>
        <v/>
      </c>
      <c r="P94" s="16"/>
      <c r="Q94" s="16"/>
      <c r="R94" s="113" t="s">
        <v>247</v>
      </c>
      <c r="S94" s="116" t="str">
        <f t="shared" si="10"/>
        <v/>
      </c>
      <c r="T94" s="119" t="str">
        <f t="shared" si="8"/>
        <v>Update</v>
      </c>
      <c r="U94" s="128">
        <f t="shared" si="9"/>
        <v>4099500.3505756008</v>
      </c>
    </row>
    <row r="95" spans="1:21" s="85" customFormat="1" ht="26.25" x14ac:dyDescent="0.4">
      <c r="A95" s="15" t="s">
        <v>97</v>
      </c>
      <c r="B95" s="16">
        <v>1079343.9292324274</v>
      </c>
      <c r="C95" s="82">
        <v>0</v>
      </c>
      <c r="D95" s="82">
        <v>6794001.5999999996</v>
      </c>
      <c r="E95" s="13">
        <v>6269912.345600633</v>
      </c>
      <c r="F95" s="82">
        <v>4396651.2</v>
      </c>
      <c r="G95" s="16">
        <f>VLOOKUP(A95,'NPV Analysis'!$A$9:$R$123,16)</f>
        <v>732630.94468547171</v>
      </c>
      <c r="H95" s="83">
        <f>VLOOKUP(A95,'LRP Tier Groupings'!$A$4:D204,3)</f>
        <v>1</v>
      </c>
      <c r="I95" s="16">
        <f>VLOOKUP(A95,'NPV Analysis'!$A$9:$R$123,2)</f>
        <v>20427602.822572913</v>
      </c>
      <c r="J95" s="110">
        <f t="shared" si="7"/>
        <v>3</v>
      </c>
      <c r="K95" s="16">
        <f t="shared" si="11"/>
        <v>7873345.5292324275</v>
      </c>
      <c r="L95" s="118">
        <v>58820</v>
      </c>
      <c r="M95" s="84">
        <v>0</v>
      </c>
      <c r="N95" s="84">
        <v>0</v>
      </c>
      <c r="O95" s="16" t="str">
        <f>IF(N95=1,M95*Assumptions!$B$3,IF(N95=2,Assumptions!$C$3*M95,""))</f>
        <v/>
      </c>
      <c r="P95" s="16">
        <v>46022000</v>
      </c>
      <c r="Q95" s="16"/>
      <c r="R95" s="114" t="s">
        <v>167</v>
      </c>
      <c r="S95" s="116">
        <f t="shared" si="10"/>
        <v>46022000</v>
      </c>
      <c r="T95" s="119" t="b">
        <f t="shared" si="8"/>
        <v>0</v>
      </c>
      <c r="U95" s="128">
        <f t="shared" si="9"/>
        <v>46022000</v>
      </c>
    </row>
    <row r="96" spans="1:21" s="85" customFormat="1" ht="26.25" x14ac:dyDescent="0.4">
      <c r="A96" s="15" t="s">
        <v>98</v>
      </c>
      <c r="B96" s="16">
        <v>326663.16898214794</v>
      </c>
      <c r="C96" s="82">
        <v>16483.2</v>
      </c>
      <c r="D96" s="82">
        <v>2137396.7999999998</v>
      </c>
      <c r="E96" s="13">
        <v>588351.73542976356</v>
      </c>
      <c r="F96" s="82">
        <v>10966660.799999999</v>
      </c>
      <c r="G96" s="16">
        <f>VLOOKUP(A96,'NPV Analysis'!$A$9:$R$123,16)</f>
        <v>1084539.6050806143</v>
      </c>
      <c r="H96" s="83">
        <f>VLOOKUP(A96,'LRP Tier Groupings'!$A$4:D205,3)</f>
        <v>1</v>
      </c>
      <c r="I96" s="16">
        <f>VLOOKUP(A96,'NPV Analysis'!$A$9:$R$123,2)</f>
        <v>25612660.609886277</v>
      </c>
      <c r="J96" s="110">
        <f t="shared" si="7"/>
        <v>3</v>
      </c>
      <c r="K96" s="16">
        <f t="shared" si="11"/>
        <v>2480543.1689821477</v>
      </c>
      <c r="L96" s="118">
        <v>82223.42</v>
      </c>
      <c r="M96" s="84">
        <v>0</v>
      </c>
      <c r="N96" s="84">
        <v>0</v>
      </c>
      <c r="O96" s="16" t="str">
        <f>IF(N96=1,M96*Assumptions!$B$3,IF(N96=2,Assumptions!$C$3*M96,""))</f>
        <v/>
      </c>
      <c r="P96" s="16"/>
      <c r="Q96" s="16"/>
      <c r="R96" s="113" t="s">
        <v>247</v>
      </c>
      <c r="S96" s="116" t="str">
        <f t="shared" si="10"/>
        <v/>
      </c>
      <c r="T96" s="119" t="str">
        <f t="shared" si="8"/>
        <v>Update</v>
      </c>
      <c r="U96" s="128">
        <f t="shared" si="9"/>
        <v>2480543.1689821477</v>
      </c>
    </row>
    <row r="97" spans="1:21" s="85" customFormat="1" ht="26.25" x14ac:dyDescent="0.4">
      <c r="A97" s="15" t="s">
        <v>99</v>
      </c>
      <c r="B97" s="16">
        <v>1739961.9367395837</v>
      </c>
      <c r="C97" s="82">
        <v>1168108.8</v>
      </c>
      <c r="D97" s="82">
        <v>621885.6</v>
      </c>
      <c r="E97" s="13">
        <v>15141652.349402729</v>
      </c>
      <c r="F97" s="82">
        <v>3542913.6</v>
      </c>
      <c r="G97" s="16">
        <f>VLOOKUP(A97,'NPV Analysis'!$A$9:$R$123,16)</f>
        <v>2059227.2690608301</v>
      </c>
      <c r="H97" s="83">
        <f>VLOOKUP(A97,'LRP Tier Groupings'!$A$4:D206,3)</f>
        <v>1</v>
      </c>
      <c r="I97" s="16">
        <f>VLOOKUP(A97,'NPV Analysis'!$A$9:$R$123,2)</f>
        <v>35863395.183797166</v>
      </c>
      <c r="J97" s="110">
        <f t="shared" si="7"/>
        <v>3</v>
      </c>
      <c r="K97" s="16">
        <f t="shared" si="11"/>
        <v>3529956.3367395839</v>
      </c>
      <c r="L97" s="118">
        <v>123368</v>
      </c>
      <c r="M97" s="84">
        <v>0</v>
      </c>
      <c r="N97" s="84">
        <v>0</v>
      </c>
      <c r="O97" s="16" t="str">
        <f>IF(N97=1,M97*Assumptions!$B$3,IF(N97=2,Assumptions!$C$3*M97,""))</f>
        <v/>
      </c>
      <c r="P97" s="16"/>
      <c r="Q97" s="16"/>
      <c r="R97" s="113" t="s">
        <v>247</v>
      </c>
      <c r="S97" s="116" t="str">
        <f t="shared" si="10"/>
        <v/>
      </c>
      <c r="T97" s="119" t="str">
        <f t="shared" si="8"/>
        <v>Update</v>
      </c>
      <c r="U97" s="128">
        <f t="shared" si="9"/>
        <v>3529956.3367395839</v>
      </c>
    </row>
    <row r="98" spans="1:21" s="85" customFormat="1" ht="26.25" x14ac:dyDescent="0.4">
      <c r="A98" s="15" t="s">
        <v>100</v>
      </c>
      <c r="B98" s="16">
        <v>280478.7674219794</v>
      </c>
      <c r="C98" s="82">
        <v>1912675.2</v>
      </c>
      <c r="D98" s="82">
        <v>1850827.2</v>
      </c>
      <c r="E98" s="13">
        <v>10684477.511951793</v>
      </c>
      <c r="F98" s="82">
        <v>2879512.8</v>
      </c>
      <c r="G98" s="16">
        <f>VLOOKUP(A98,'NPV Analysis'!$A$9:$R$123,16)</f>
        <v>0</v>
      </c>
      <c r="H98" s="83">
        <f>VLOOKUP(A98,'LRP Tier Groupings'!$A$4:D207,3)</f>
        <v>0</v>
      </c>
      <c r="I98" s="16">
        <f>VLOOKUP(A98,'NPV Analysis'!$A$9:$R$123,2)</f>
        <v>29233723.930475637</v>
      </c>
      <c r="J98" s="110">
        <f t="shared" si="7"/>
        <v>2</v>
      </c>
      <c r="K98" s="16">
        <f t="shared" si="11"/>
        <v>2193153.9674219792</v>
      </c>
      <c r="L98" s="118">
        <v>55700</v>
      </c>
      <c r="M98" s="84">
        <v>0</v>
      </c>
      <c r="N98" s="84">
        <v>0</v>
      </c>
      <c r="O98" s="16" t="str">
        <f>IF(N98=1,M98*Assumptions!$B$3,IF(N98=2,Assumptions!$C$3*M98,""))</f>
        <v/>
      </c>
      <c r="P98" s="16"/>
      <c r="Q98" s="16"/>
      <c r="R98" s="113" t="s">
        <v>247</v>
      </c>
      <c r="S98" s="116" t="str">
        <f t="shared" si="10"/>
        <v/>
      </c>
      <c r="T98" s="119" t="str">
        <f t="shared" si="8"/>
        <v>Update</v>
      </c>
      <c r="U98" s="128">
        <f t="shared" si="9"/>
        <v>2193153.9674219792</v>
      </c>
    </row>
    <row r="99" spans="1:21" s="85" customFormat="1" ht="26.25" x14ac:dyDescent="0.4">
      <c r="A99" s="15" t="s">
        <v>102</v>
      </c>
      <c r="B99" s="16">
        <v>2335699.2500118031</v>
      </c>
      <c r="C99" s="82">
        <v>224743.19999999998</v>
      </c>
      <c r="D99" s="82">
        <v>1677218.4</v>
      </c>
      <c r="E99" s="13">
        <v>1888098.9265617984</v>
      </c>
      <c r="F99" s="82">
        <v>3353431.1999999997</v>
      </c>
      <c r="G99" s="16">
        <f>VLOOKUP(A99,'NPV Analysis'!$A$9:$R$123,16)</f>
        <v>290778.72550754534</v>
      </c>
      <c r="H99" s="83">
        <f>VLOOKUP(A99,'LRP Tier Groupings'!$A$4:D208,3)</f>
        <v>0</v>
      </c>
      <c r="I99" s="16">
        <f>VLOOKUP(A99,'NPV Analysis'!$A$9:$R$123,2)</f>
        <v>11008912.447729746</v>
      </c>
      <c r="J99" s="110">
        <f t="shared" si="7"/>
        <v>2</v>
      </c>
      <c r="K99" s="16">
        <f t="shared" si="11"/>
        <v>2560442.4500118033</v>
      </c>
      <c r="L99" s="118">
        <v>25758.14</v>
      </c>
      <c r="M99" s="84">
        <v>0</v>
      </c>
      <c r="N99" s="84">
        <v>0</v>
      </c>
      <c r="O99" s="16" t="str">
        <f>IF(N99=1,M99*Assumptions!$B$3,IF(N99=2,Assumptions!$C$3*M99,""))</f>
        <v/>
      </c>
      <c r="P99" s="16"/>
      <c r="Q99" s="16"/>
      <c r="R99" s="113" t="s">
        <v>247</v>
      </c>
      <c r="S99" s="116" t="str">
        <f t="shared" si="10"/>
        <v/>
      </c>
      <c r="T99" s="119" t="str">
        <f t="shared" si="8"/>
        <v>Update</v>
      </c>
      <c r="U99" s="128">
        <f t="shared" si="9"/>
        <v>2560442.4500118033</v>
      </c>
    </row>
    <row r="100" spans="1:21" s="85" customFormat="1" ht="26.25" x14ac:dyDescent="0.4">
      <c r="A100" s="15" t="s">
        <v>101</v>
      </c>
      <c r="B100" s="16">
        <v>0</v>
      </c>
      <c r="C100" s="82">
        <v>628365.6</v>
      </c>
      <c r="D100" s="82">
        <v>6891854.3999999994</v>
      </c>
      <c r="E100" s="13">
        <v>2699487.2444893266</v>
      </c>
      <c r="F100" s="82">
        <v>9877240.7999999989</v>
      </c>
      <c r="G100" s="16">
        <f>VLOOKUP(A100,'NPV Analysis'!$A$9:$R$123,16)</f>
        <v>1690430.2109831348</v>
      </c>
      <c r="H100" s="83">
        <f>VLOOKUP(A100,'LRP Tier Groupings'!$A$4:D209,3)</f>
        <v>1</v>
      </c>
      <c r="I100" s="16">
        <f>VLOOKUP(A100,'NPV Analysis'!$A$9:$R$123,2)</f>
        <v>31327777.104116622</v>
      </c>
      <c r="J100" s="110">
        <f t="shared" si="7"/>
        <v>3</v>
      </c>
      <c r="K100" s="16">
        <f t="shared" si="11"/>
        <v>7520219.9999999991</v>
      </c>
      <c r="L100" s="118">
        <v>65458</v>
      </c>
      <c r="M100" s="84">
        <v>0</v>
      </c>
      <c r="N100" s="84">
        <v>0</v>
      </c>
      <c r="O100" s="16" t="str">
        <f>IF(N100=1,M100*Assumptions!$B$3,IF(N100=2,Assumptions!$C$3*M100,""))</f>
        <v/>
      </c>
      <c r="P100" s="16"/>
      <c r="Q100" s="16"/>
      <c r="R100" s="113" t="s">
        <v>247</v>
      </c>
      <c r="S100" s="116" t="str">
        <f t="shared" si="10"/>
        <v/>
      </c>
      <c r="T100" s="119" t="str">
        <f t="shared" si="8"/>
        <v>Update</v>
      </c>
      <c r="U100" s="128">
        <f t="shared" si="9"/>
        <v>7520219.9999999991</v>
      </c>
    </row>
    <row r="101" spans="1:21" s="85" customFormat="1" ht="26.25" x14ac:dyDescent="0.4">
      <c r="A101" s="15" t="s">
        <v>103</v>
      </c>
      <c r="B101" s="16">
        <v>179917.77413885226</v>
      </c>
      <c r="C101" s="82">
        <v>175092</v>
      </c>
      <c r="D101" s="82">
        <v>1740235.2</v>
      </c>
      <c r="E101" s="13">
        <v>9289857.0164897908</v>
      </c>
      <c r="F101" s="82">
        <v>3108960</v>
      </c>
      <c r="G101" s="16">
        <f>VLOOKUP(A101,'NPV Analysis'!$A$9:$R$123,16)</f>
        <v>8261687.802634283</v>
      </c>
      <c r="H101" s="83">
        <f>VLOOKUP(A101,'LRP Tier Groupings'!$A$4:D210,3)</f>
        <v>1</v>
      </c>
      <c r="I101" s="16">
        <f>VLOOKUP(A101,'NPV Analysis'!$A$9:$R$123,2)</f>
        <v>22346554.427237276</v>
      </c>
      <c r="J101" s="110">
        <f t="shared" si="7"/>
        <v>3</v>
      </c>
      <c r="K101" s="16">
        <f t="shared" si="11"/>
        <v>2095244.9741388522</v>
      </c>
      <c r="L101" s="118">
        <v>41621.97</v>
      </c>
      <c r="M101" s="84">
        <v>0</v>
      </c>
      <c r="N101" s="84">
        <v>0</v>
      </c>
      <c r="O101" s="16" t="str">
        <f>IF(N101=1,M101*Assumptions!$B$3,IF(N101=2,Assumptions!$C$3*M101,""))</f>
        <v/>
      </c>
      <c r="P101" s="16"/>
      <c r="Q101" s="16"/>
      <c r="R101" s="113" t="s">
        <v>247</v>
      </c>
      <c r="S101" s="116" t="str">
        <f t="shared" si="10"/>
        <v/>
      </c>
      <c r="T101" s="119" t="str">
        <f t="shared" si="8"/>
        <v>Update</v>
      </c>
      <c r="U101" s="128">
        <f t="shared" si="9"/>
        <v>2095244.9741388522</v>
      </c>
    </row>
    <row r="102" spans="1:21" s="85" customFormat="1" ht="26.25" x14ac:dyDescent="0.4">
      <c r="A102" s="17" t="s">
        <v>3</v>
      </c>
      <c r="B102" s="16">
        <v>0</v>
      </c>
      <c r="C102" s="82">
        <v>0</v>
      </c>
      <c r="D102" s="82">
        <v>0</v>
      </c>
      <c r="E102" s="13">
        <v>0</v>
      </c>
      <c r="F102" s="82">
        <v>0</v>
      </c>
      <c r="G102" s="16">
        <f>VLOOKUP(A102,'NPV Analysis'!$A$9:$R$123,16)</f>
        <v>0</v>
      </c>
      <c r="H102" s="83">
        <f>VLOOKUP(A102,'LRP Tier Groupings'!$A$4:D211,3)</f>
        <v>0</v>
      </c>
      <c r="I102" s="16">
        <f>VLOOKUP(A102,'NPV Analysis'!$A$9:$R$123,2)</f>
        <v>0</v>
      </c>
      <c r="J102" s="110">
        <f t="shared" si="7"/>
        <v>2</v>
      </c>
      <c r="K102" s="16">
        <f t="shared" si="11"/>
        <v>0</v>
      </c>
      <c r="L102" s="118">
        <v>123685.81</v>
      </c>
      <c r="M102" s="84">
        <v>0</v>
      </c>
      <c r="N102" s="84">
        <v>0</v>
      </c>
      <c r="O102" s="16" t="str">
        <f>IF(N102=1,M102*Assumptions!$B$3,IF(N102=2,Assumptions!$C$3*M102,""))</f>
        <v/>
      </c>
      <c r="P102" s="16"/>
      <c r="Q102" s="16"/>
      <c r="R102" s="113" t="s">
        <v>247</v>
      </c>
      <c r="S102" s="116" t="str">
        <f t="shared" si="10"/>
        <v/>
      </c>
      <c r="T102" s="119" t="str">
        <f t="shared" si="8"/>
        <v>Update</v>
      </c>
      <c r="U102" s="128">
        <f t="shared" si="9"/>
        <v>0</v>
      </c>
    </row>
    <row r="103" spans="1:21" s="85" customFormat="1" ht="26.25" x14ac:dyDescent="0.4">
      <c r="A103" s="15" t="s">
        <v>104</v>
      </c>
      <c r="B103" s="16">
        <v>27276.224458495741</v>
      </c>
      <c r="C103" s="82">
        <v>346574.39999999997</v>
      </c>
      <c r="D103" s="82">
        <v>4509996</v>
      </c>
      <c r="E103" s="13">
        <v>8448736.4272811692</v>
      </c>
      <c r="F103" s="82">
        <v>1883160</v>
      </c>
      <c r="G103" s="16">
        <f>VLOOKUP(A103,'NPV Analysis'!$A$9:$R$123,16)</f>
        <v>0</v>
      </c>
      <c r="H103" s="83">
        <f>VLOOKUP(A103,'LRP Tier Groupings'!$A$4:D212,3)</f>
        <v>0</v>
      </c>
      <c r="I103" s="16">
        <f>VLOOKUP(A103,'NPV Analysis'!$A$9:$R$123,2)</f>
        <v>22554516.153513189</v>
      </c>
      <c r="J103" s="110">
        <f t="shared" si="7"/>
        <v>2</v>
      </c>
      <c r="K103" s="16">
        <f t="shared" si="11"/>
        <v>373850.6244584957</v>
      </c>
      <c r="L103" s="118">
        <v>35362</v>
      </c>
      <c r="M103" s="84">
        <v>0</v>
      </c>
      <c r="N103" s="84">
        <v>0</v>
      </c>
      <c r="O103" s="16" t="str">
        <f>IF(N103=1,M103*Assumptions!$B$3,IF(N103=2,Assumptions!$C$3*M103,""))</f>
        <v/>
      </c>
      <c r="P103" s="16"/>
      <c r="Q103" s="16"/>
      <c r="R103" s="113" t="s">
        <v>247</v>
      </c>
      <c r="S103" s="116" t="str">
        <f t="shared" si="10"/>
        <v/>
      </c>
      <c r="T103" s="119" t="str">
        <f t="shared" si="8"/>
        <v>Update</v>
      </c>
      <c r="U103" s="128">
        <f t="shared" si="9"/>
        <v>373850.6244584957</v>
      </c>
    </row>
    <row r="104" spans="1:21" s="85" customFormat="1" ht="26.25" x14ac:dyDescent="0.4">
      <c r="A104" s="15" t="s">
        <v>105</v>
      </c>
      <c r="B104" s="16">
        <v>2431199.7460937081</v>
      </c>
      <c r="C104" s="82">
        <v>698229.6</v>
      </c>
      <c r="D104" s="82">
        <v>1155410.3999999999</v>
      </c>
      <c r="E104" s="13">
        <v>1165620.4840602372</v>
      </c>
      <c r="F104" s="82">
        <v>17435097.599999998</v>
      </c>
      <c r="G104" s="16">
        <f>VLOOKUP(A104,'NPV Analysis'!$A$9:$R$123,16)</f>
        <v>1855217.4053733901</v>
      </c>
      <c r="H104" s="83">
        <f>VLOOKUP(A104,'LRP Tier Groupings'!$A$4:D213,3)</f>
        <v>1</v>
      </c>
      <c r="I104" s="16">
        <f>VLOOKUP(A104,'NPV Analysis'!$A$9:$R$123,2)</f>
        <v>25855599.881657124</v>
      </c>
      <c r="J104" s="110">
        <f t="shared" si="7"/>
        <v>3</v>
      </c>
      <c r="K104" s="16">
        <f t="shared" si="11"/>
        <v>4284839.7460937081</v>
      </c>
      <c r="L104" s="118">
        <v>83036</v>
      </c>
      <c r="M104" s="84">
        <v>0</v>
      </c>
      <c r="N104" s="84">
        <v>0</v>
      </c>
      <c r="O104" s="16" t="str">
        <f>IF(N104=1,M104*Assumptions!$B$3,IF(N104=2,Assumptions!$C$3*M104,""))</f>
        <v/>
      </c>
      <c r="P104" s="16"/>
      <c r="Q104" s="16"/>
      <c r="R104" s="113" t="s">
        <v>247</v>
      </c>
      <c r="S104" s="116" t="str">
        <f t="shared" si="10"/>
        <v/>
      </c>
      <c r="T104" s="119" t="str">
        <f t="shared" si="8"/>
        <v>Update</v>
      </c>
      <c r="U104" s="128">
        <f t="shared" si="9"/>
        <v>4284839.7460937081</v>
      </c>
    </row>
    <row r="105" spans="1:21" s="85" customFormat="1" ht="26.25" x14ac:dyDescent="0.4">
      <c r="A105" s="15" t="s">
        <v>2</v>
      </c>
      <c r="B105" s="16">
        <v>0</v>
      </c>
      <c r="C105" s="82">
        <v>0</v>
      </c>
      <c r="D105" s="82">
        <v>0</v>
      </c>
      <c r="E105" s="13">
        <v>4567668.8573825117</v>
      </c>
      <c r="F105" s="82">
        <v>0</v>
      </c>
      <c r="G105" s="16">
        <f>VLOOKUP(A105,'NPV Analysis'!$A$9:$R$123,16)</f>
        <v>0</v>
      </c>
      <c r="H105" s="83">
        <f>VLOOKUP(A105,'LRP Tier Groupings'!$A$4:D214,3)</f>
        <v>0</v>
      </c>
      <c r="I105" s="16">
        <f>VLOOKUP(A105,'NPV Analysis'!$A$9:$R$123,2)</f>
        <v>4674933.5298117818</v>
      </c>
      <c r="J105" s="110">
        <f t="shared" si="7"/>
        <v>2</v>
      </c>
      <c r="K105" s="16">
        <f t="shared" si="11"/>
        <v>0</v>
      </c>
      <c r="L105" s="118">
        <v>36500.58</v>
      </c>
      <c r="M105" s="84">
        <v>0</v>
      </c>
      <c r="N105" s="84">
        <v>0</v>
      </c>
      <c r="O105" s="16" t="str">
        <f>IF(N105=1,M105*Assumptions!$B$3,IF(N105=2,Assumptions!$C$3*M105,""))</f>
        <v/>
      </c>
      <c r="P105" s="16"/>
      <c r="Q105" s="16"/>
      <c r="R105" s="113" t="s">
        <v>247</v>
      </c>
      <c r="S105" s="116" t="str">
        <f t="shared" si="10"/>
        <v/>
      </c>
      <c r="T105" s="119" t="str">
        <f t="shared" ref="T105:T123" si="12">IF(R105="yes",K105=0,"Update")</f>
        <v>Update</v>
      </c>
      <c r="U105" s="128">
        <f t="shared" si="9"/>
        <v>0</v>
      </c>
    </row>
    <row r="106" spans="1:21" s="85" customFormat="1" ht="26.25" x14ac:dyDescent="0.4">
      <c r="A106" s="15" t="s">
        <v>127</v>
      </c>
      <c r="B106" s="16">
        <v>5321142.9555189591</v>
      </c>
      <c r="C106" s="82">
        <v>2489424</v>
      </c>
      <c r="D106" s="82">
        <v>2050860</v>
      </c>
      <c r="E106" s="13">
        <v>6558036.5094083343</v>
      </c>
      <c r="F106" s="82">
        <v>12746392.799999999</v>
      </c>
      <c r="G106" s="16">
        <f>VLOOKUP(A106,'NPV Analysis'!$A$9:$R$123,16)</f>
        <v>4082876.8912631059</v>
      </c>
      <c r="H106" s="83">
        <f>VLOOKUP(A106,'LRP Tier Groupings'!$A$4:D215,3)</f>
        <v>1</v>
      </c>
      <c r="I106" s="16">
        <f>VLOOKUP(A106,'NPV Analysis'!$A$9:$R$123,2)</f>
        <v>67572981.566992208</v>
      </c>
      <c r="J106" s="110">
        <f t="shared" si="7"/>
        <v>3</v>
      </c>
      <c r="K106" s="16">
        <f t="shared" si="11"/>
        <v>9861426.9555189591</v>
      </c>
      <c r="L106" s="118">
        <v>132759.73000000001</v>
      </c>
      <c r="M106" s="84">
        <v>180000</v>
      </c>
      <c r="N106" s="84">
        <v>1</v>
      </c>
      <c r="O106" s="16">
        <f>IF(N106=1,M106*Assumptions!$B$3,IF(N106=2,Assumptions!$C$3*M106,""))</f>
        <v>117000000</v>
      </c>
      <c r="P106" s="16">
        <v>105380000</v>
      </c>
      <c r="Q106" s="16"/>
      <c r="R106" s="114" t="s">
        <v>160</v>
      </c>
      <c r="S106" s="116">
        <f t="shared" si="10"/>
        <v>105380000</v>
      </c>
      <c r="T106" s="119" t="b">
        <f t="shared" si="12"/>
        <v>0</v>
      </c>
      <c r="U106" s="128">
        <f t="shared" si="9"/>
        <v>105380000</v>
      </c>
    </row>
    <row r="107" spans="1:21" s="85" customFormat="1" ht="26.25" x14ac:dyDescent="0.4">
      <c r="A107" s="15" t="s">
        <v>106</v>
      </c>
      <c r="B107" s="16">
        <v>650935.16929650726</v>
      </c>
      <c r="C107" s="16">
        <v>0</v>
      </c>
      <c r="D107" s="16">
        <v>0</v>
      </c>
      <c r="E107" s="13">
        <v>0</v>
      </c>
      <c r="F107" s="16">
        <v>0</v>
      </c>
      <c r="G107" s="16">
        <f>VLOOKUP(A107,'NPV Analysis'!$A$9:$R$123,16)</f>
        <v>0</v>
      </c>
      <c r="H107" s="83">
        <f>VLOOKUP(A107,'LRP Tier Groupings'!$A$4:D216,3)</f>
        <v>1</v>
      </c>
      <c r="I107" s="16">
        <f>VLOOKUP(A107,'NPV Analysis'!$A$9:$R$123,2)</f>
        <v>0</v>
      </c>
      <c r="J107" s="110">
        <f t="shared" si="7"/>
        <v>3</v>
      </c>
      <c r="K107" s="16">
        <f t="shared" si="11"/>
        <v>650935.16929650726</v>
      </c>
      <c r="L107" s="118">
        <v>77904.63</v>
      </c>
      <c r="M107" s="84">
        <v>0</v>
      </c>
      <c r="N107" s="84">
        <v>0</v>
      </c>
      <c r="O107" s="16" t="str">
        <f>IF(N107=1,M107*Assumptions!$B$3,IF(N107=2,Assumptions!$C$3*M107,""))</f>
        <v/>
      </c>
      <c r="P107" s="16"/>
      <c r="Q107" s="16"/>
      <c r="R107" s="113" t="s">
        <v>247</v>
      </c>
      <c r="S107" s="116" t="str">
        <f t="shared" si="10"/>
        <v/>
      </c>
      <c r="T107" s="119" t="str">
        <f t="shared" si="12"/>
        <v>Update</v>
      </c>
      <c r="U107" s="128">
        <f t="shared" si="9"/>
        <v>650935.16929650726</v>
      </c>
    </row>
    <row r="108" spans="1:21" s="85" customFormat="1" ht="26.25" x14ac:dyDescent="0.4">
      <c r="A108" s="15" t="s">
        <v>107</v>
      </c>
      <c r="B108" s="16">
        <v>45944.712603525753</v>
      </c>
      <c r="C108" s="82">
        <v>0</v>
      </c>
      <c r="D108" s="82">
        <v>6866661.5999999996</v>
      </c>
      <c r="E108" s="13">
        <v>9558953.3220362086</v>
      </c>
      <c r="F108" s="82">
        <v>17080010.399999999</v>
      </c>
      <c r="G108" s="16">
        <f>VLOOKUP(A108,'NPV Analysis'!$A$9:$R$123,16)</f>
        <v>1598945.7174172967</v>
      </c>
      <c r="H108" s="83">
        <f>VLOOKUP(A108,'LRP Tier Groupings'!$A$4:D217,3)</f>
        <v>0</v>
      </c>
      <c r="I108" s="16">
        <f>VLOOKUP(A108,'NPV Analysis'!$A$9:$R$123,2)</f>
        <v>46539151.222312577</v>
      </c>
      <c r="J108" s="110">
        <f t="shared" si="7"/>
        <v>2</v>
      </c>
      <c r="K108" s="16">
        <f t="shared" si="11"/>
        <v>45944.712603525753</v>
      </c>
      <c r="L108" s="118">
        <v>158397</v>
      </c>
      <c r="M108" s="84">
        <v>0</v>
      </c>
      <c r="N108" s="84">
        <v>0</v>
      </c>
      <c r="O108" s="16" t="str">
        <f>IF(N108=1,M108*Assumptions!$B$3,IF(N108=2,Assumptions!$C$3*M108,""))</f>
        <v/>
      </c>
      <c r="P108" s="16"/>
      <c r="Q108" s="16"/>
      <c r="R108" s="113" t="s">
        <v>247</v>
      </c>
      <c r="S108" s="116" t="str">
        <f t="shared" si="10"/>
        <v/>
      </c>
      <c r="T108" s="119" t="str">
        <f t="shared" si="12"/>
        <v>Update</v>
      </c>
      <c r="U108" s="128">
        <f t="shared" si="9"/>
        <v>45944.712603525753</v>
      </c>
    </row>
    <row r="109" spans="1:21" s="85" customFormat="1" ht="26.25" x14ac:dyDescent="0.4">
      <c r="A109" s="15" t="s">
        <v>108</v>
      </c>
      <c r="B109" s="16">
        <v>2852417.1099536261</v>
      </c>
      <c r="C109" s="82">
        <v>473164.79999999999</v>
      </c>
      <c r="D109" s="82">
        <v>835500</v>
      </c>
      <c r="E109" s="13">
        <v>4246294.9012735002</v>
      </c>
      <c r="F109" s="82">
        <v>6167318.3999999994</v>
      </c>
      <c r="G109" s="16">
        <f>VLOOKUP(A109,'NPV Analysis'!$A$9:$R$123,16)</f>
        <v>138300.44390241179</v>
      </c>
      <c r="H109" s="83">
        <f>VLOOKUP(A109,'LRP Tier Groupings'!$A$4:D218,3)</f>
        <v>1</v>
      </c>
      <c r="I109" s="16">
        <f>VLOOKUP(A109,'NPV Analysis'!$A$9:$R$123,2)</f>
        <v>18187483.226755749</v>
      </c>
      <c r="J109" s="110">
        <f t="shared" si="7"/>
        <v>3</v>
      </c>
      <c r="K109" s="16">
        <f t="shared" si="11"/>
        <v>4161081.9099536259</v>
      </c>
      <c r="L109" s="118">
        <v>48922.47</v>
      </c>
      <c r="M109" s="84">
        <v>0</v>
      </c>
      <c r="N109" s="84">
        <v>0</v>
      </c>
      <c r="O109" s="16" t="str">
        <f>IF(N109=1,M109*Assumptions!$B$3,IF(N109=2,Assumptions!$C$3*M109,""))</f>
        <v/>
      </c>
      <c r="P109" s="16"/>
      <c r="Q109" s="16"/>
      <c r="R109" s="113" t="s">
        <v>247</v>
      </c>
      <c r="S109" s="116" t="str">
        <f t="shared" si="10"/>
        <v/>
      </c>
      <c r="T109" s="119" t="str">
        <f t="shared" si="12"/>
        <v>Update</v>
      </c>
      <c r="U109" s="128">
        <f t="shared" si="9"/>
        <v>4161081.9099536259</v>
      </c>
    </row>
    <row r="110" spans="1:21" s="85" customFormat="1" ht="26.25" x14ac:dyDescent="0.4">
      <c r="A110" s="15" t="s">
        <v>109</v>
      </c>
      <c r="B110" s="16">
        <v>549046.63660854567</v>
      </c>
      <c r="C110" s="82">
        <v>0</v>
      </c>
      <c r="D110" s="82">
        <v>230942.4</v>
      </c>
      <c r="E110" s="13">
        <v>3777785.4200762031</v>
      </c>
      <c r="F110" s="82">
        <v>2804630.4</v>
      </c>
      <c r="G110" s="16">
        <f>VLOOKUP(A110,'NPV Analysis'!$A$9:$R$123,16)</f>
        <v>0</v>
      </c>
      <c r="H110" s="83">
        <f>VLOOKUP(A110,'LRP Tier Groupings'!$A$4:D219,3)</f>
        <v>0</v>
      </c>
      <c r="I110" s="16">
        <f>VLOOKUP(A110,'NPV Analysis'!$A$9:$R$123,2)</f>
        <v>21745255.533830769</v>
      </c>
      <c r="J110" s="110">
        <f t="shared" si="7"/>
        <v>2</v>
      </c>
      <c r="K110" s="16">
        <f t="shared" si="11"/>
        <v>549046.63660854567</v>
      </c>
      <c r="L110" s="118">
        <v>76376</v>
      </c>
      <c r="M110" s="84">
        <v>0</v>
      </c>
      <c r="N110" s="84">
        <v>0</v>
      </c>
      <c r="O110" s="16" t="str">
        <f>IF(N110=1,M110*Assumptions!$B$3,IF(N110=2,Assumptions!$C$3*M110,""))</f>
        <v/>
      </c>
      <c r="P110" s="16"/>
      <c r="Q110" s="16"/>
      <c r="R110" s="113" t="s">
        <v>247</v>
      </c>
      <c r="S110" s="116" t="str">
        <f t="shared" si="10"/>
        <v/>
      </c>
      <c r="T110" s="119" t="str">
        <f t="shared" si="12"/>
        <v>Update</v>
      </c>
      <c r="U110" s="128">
        <f t="shared" si="9"/>
        <v>549046.63660854567</v>
      </c>
    </row>
    <row r="111" spans="1:21" s="85" customFormat="1" ht="26.25" x14ac:dyDescent="0.4">
      <c r="A111" s="15" t="s">
        <v>110</v>
      </c>
      <c r="B111" s="16">
        <v>523116.25027357822</v>
      </c>
      <c r="C111" s="82">
        <v>320714.39999999997</v>
      </c>
      <c r="D111" s="82">
        <v>180201.60000000001</v>
      </c>
      <c r="E111" s="13">
        <v>14134171.614923023</v>
      </c>
      <c r="F111" s="82">
        <v>3627614.4</v>
      </c>
      <c r="G111" s="16">
        <f>VLOOKUP(A111,'NPV Analysis'!$A$9:$R$123,16)</f>
        <v>660578.31946819148</v>
      </c>
      <c r="H111" s="83">
        <f>VLOOKUP(A111,'LRP Tier Groupings'!$A$4:D220,3)</f>
        <v>0</v>
      </c>
      <c r="I111" s="16">
        <f>VLOOKUP(A111,'NPV Analysis'!$A$9:$R$123,2)</f>
        <v>32742293.586840723</v>
      </c>
      <c r="J111" s="110">
        <f t="shared" si="7"/>
        <v>2</v>
      </c>
      <c r="K111" s="16">
        <f t="shared" si="11"/>
        <v>843830.65027357824</v>
      </c>
      <c r="L111" s="118">
        <v>67227</v>
      </c>
      <c r="M111" s="84">
        <v>0</v>
      </c>
      <c r="N111" s="84">
        <v>0</v>
      </c>
      <c r="O111" s="16" t="str">
        <f>IF(N111=1,M111*Assumptions!$B$3,IF(N111=2,Assumptions!$C$3*M111,""))</f>
        <v/>
      </c>
      <c r="P111" s="16"/>
      <c r="Q111" s="16"/>
      <c r="R111" s="113" t="s">
        <v>247</v>
      </c>
      <c r="S111" s="116" t="str">
        <f t="shared" si="10"/>
        <v/>
      </c>
      <c r="T111" s="119" t="str">
        <f t="shared" si="12"/>
        <v>Update</v>
      </c>
      <c r="U111" s="128">
        <f t="shared" si="9"/>
        <v>843830.65027357824</v>
      </c>
    </row>
    <row r="112" spans="1:21" s="85" customFormat="1" ht="26.25" x14ac:dyDescent="0.4">
      <c r="A112" s="15" t="s">
        <v>111</v>
      </c>
      <c r="B112" s="16">
        <v>12109304.728500426</v>
      </c>
      <c r="C112" s="82">
        <v>1361736</v>
      </c>
      <c r="D112" s="82">
        <v>37099082.399999999</v>
      </c>
      <c r="E112" s="13">
        <v>27548887.271004938</v>
      </c>
      <c r="F112" s="82">
        <v>25330946.399999999</v>
      </c>
      <c r="G112" s="16">
        <f>VLOOKUP(A112,'NPV Analysis'!$A$9:$R$123,16)</f>
        <v>4695085.9486254603</v>
      </c>
      <c r="H112" s="83">
        <f>VLOOKUP(A112,'LRP Tier Groupings'!$A$4:D221,3)</f>
        <v>1</v>
      </c>
      <c r="I112" s="16">
        <f>VLOOKUP(A112,'NPV Analysis'!$A$9:$R$123,2)</f>
        <v>171238285.47689679</v>
      </c>
      <c r="J112" s="110">
        <f t="shared" si="7"/>
        <v>3</v>
      </c>
      <c r="K112" s="16">
        <f t="shared" si="11"/>
        <v>50570123.128500424</v>
      </c>
      <c r="L112" s="118">
        <v>288372</v>
      </c>
      <c r="M112" s="84">
        <v>200000</v>
      </c>
      <c r="N112" s="84">
        <v>1</v>
      </c>
      <c r="O112" s="16">
        <f>IF(N112=1,M112*Assumptions!$B$3,IF(N112=2,Assumptions!$C$3*M112,""))</f>
        <v>130000000</v>
      </c>
      <c r="P112" s="16">
        <v>280492000</v>
      </c>
      <c r="Q112" s="16"/>
      <c r="R112" s="114" t="s">
        <v>167</v>
      </c>
      <c r="S112" s="116">
        <f t="shared" si="10"/>
        <v>280492000</v>
      </c>
      <c r="T112" s="119" t="b">
        <f t="shared" si="12"/>
        <v>0</v>
      </c>
      <c r="U112" s="128">
        <f t="shared" si="9"/>
        <v>280492000</v>
      </c>
    </row>
    <row r="113" spans="1:21" s="85" customFormat="1" ht="26.25" x14ac:dyDescent="0.4">
      <c r="A113" s="15" t="s">
        <v>112</v>
      </c>
      <c r="B113" s="16">
        <v>1626909.1532465247</v>
      </c>
      <c r="C113" s="82">
        <v>563390.4</v>
      </c>
      <c r="D113" s="82">
        <v>919485.6</v>
      </c>
      <c r="E113" s="13">
        <v>7475438.4953657575</v>
      </c>
      <c r="F113" s="82">
        <v>5692543.2000000002</v>
      </c>
      <c r="G113" s="16">
        <f>VLOOKUP(A113,'NPV Analysis'!$A$9:$R$123,16)</f>
        <v>0</v>
      </c>
      <c r="H113" s="83">
        <f>VLOOKUP(A113,'LRP Tier Groupings'!$A$4:D222,3)</f>
        <v>1</v>
      </c>
      <c r="I113" s="16">
        <f>VLOOKUP(A113,'NPV Analysis'!$A$9:$R$123,2)</f>
        <v>21269600.319639038</v>
      </c>
      <c r="J113" s="110">
        <f t="shared" si="7"/>
        <v>3</v>
      </c>
      <c r="K113" s="16">
        <f t="shared" si="11"/>
        <v>3109785.1532465247</v>
      </c>
      <c r="L113" s="118">
        <v>55057</v>
      </c>
      <c r="M113" s="84">
        <v>0</v>
      </c>
      <c r="N113" s="84">
        <v>0</v>
      </c>
      <c r="O113" s="16" t="str">
        <f>IF(N113=1,M113*Assumptions!$B$3,IF(N113=2,Assumptions!$C$3*M113,""))</f>
        <v/>
      </c>
      <c r="P113" s="16"/>
      <c r="Q113" s="16"/>
      <c r="R113" s="113" t="s">
        <v>247</v>
      </c>
      <c r="S113" s="116" t="str">
        <f t="shared" si="10"/>
        <v/>
      </c>
      <c r="T113" s="119" t="str">
        <f t="shared" si="12"/>
        <v>Update</v>
      </c>
      <c r="U113" s="128">
        <f t="shared" si="9"/>
        <v>3109785.1532465247</v>
      </c>
    </row>
    <row r="114" spans="1:21" s="85" customFormat="1" ht="26.25" x14ac:dyDescent="0.4">
      <c r="A114" s="15" t="s">
        <v>1</v>
      </c>
      <c r="B114" s="16">
        <v>0</v>
      </c>
      <c r="C114" s="82">
        <v>422047.2</v>
      </c>
      <c r="D114" s="82">
        <v>137748</v>
      </c>
      <c r="E114" s="13">
        <v>116238.8927704981</v>
      </c>
      <c r="F114" s="82">
        <v>2741253.6</v>
      </c>
      <c r="G114" s="16">
        <f>VLOOKUP(A114,'NPV Analysis'!$A$9:$R$123,16)</f>
        <v>721411.20668676624</v>
      </c>
      <c r="H114" s="83">
        <f>VLOOKUP(A114,'LRP Tier Groupings'!$A$4:D223,3)</f>
        <v>1</v>
      </c>
      <c r="I114" s="16">
        <f>VLOOKUP(A114,'NPV Analysis'!$A$9:$R$123,2)</f>
        <v>10364625.168794116</v>
      </c>
      <c r="J114" s="110">
        <f t="shared" si="7"/>
        <v>3</v>
      </c>
      <c r="K114" s="16">
        <f t="shared" si="11"/>
        <v>559795.19999999995</v>
      </c>
      <c r="L114" s="118">
        <v>73689.7</v>
      </c>
      <c r="M114" s="84">
        <v>0</v>
      </c>
      <c r="N114" s="84">
        <v>0</v>
      </c>
      <c r="O114" s="16" t="str">
        <f>IF(N114=1,M114*Assumptions!$B$3,IF(N114=2,Assumptions!$C$3*M114,""))</f>
        <v/>
      </c>
      <c r="P114" s="16"/>
      <c r="Q114" s="16"/>
      <c r="R114" s="113" t="s">
        <v>247</v>
      </c>
      <c r="S114" s="116" t="str">
        <f t="shared" si="10"/>
        <v/>
      </c>
      <c r="T114" s="119" t="str">
        <f t="shared" si="12"/>
        <v>Update</v>
      </c>
      <c r="U114" s="128">
        <f t="shared" si="9"/>
        <v>559795.19999999995</v>
      </c>
    </row>
    <row r="115" spans="1:21" s="85" customFormat="1" ht="26.25" x14ac:dyDescent="0.4">
      <c r="A115" s="15" t="s">
        <v>113</v>
      </c>
      <c r="B115" s="16">
        <v>505704.69178414281</v>
      </c>
      <c r="C115" s="82">
        <v>0</v>
      </c>
      <c r="D115" s="82">
        <v>3843396</v>
      </c>
      <c r="E115" s="13">
        <v>5128729.8582768906</v>
      </c>
      <c r="F115" s="82">
        <v>6222444</v>
      </c>
      <c r="G115" s="16">
        <f>VLOOKUP(A115,'NPV Analysis'!$A$9:$R$123,16)</f>
        <v>978029.45025671925</v>
      </c>
      <c r="H115" s="83">
        <f>VLOOKUP(A115,'LRP Tier Groupings'!$A$4:D224,3)</f>
        <v>1</v>
      </c>
      <c r="I115" s="16">
        <f>VLOOKUP(A115,'NPV Analysis'!$A$9:$R$123,2)</f>
        <v>27653861.270747758</v>
      </c>
      <c r="J115" s="110">
        <f t="shared" si="7"/>
        <v>3</v>
      </c>
      <c r="K115" s="16">
        <f t="shared" si="11"/>
        <v>4349100.6917841425</v>
      </c>
      <c r="L115" s="118">
        <v>113721.8</v>
      </c>
      <c r="M115" s="84">
        <v>0</v>
      </c>
      <c r="N115" s="84">
        <v>0</v>
      </c>
      <c r="O115" s="16" t="str">
        <f>IF(N115=1,M115*Assumptions!$B$3,IF(N115=2,Assumptions!$C$3*M115,""))</f>
        <v/>
      </c>
      <c r="P115" s="16"/>
      <c r="Q115" s="16"/>
      <c r="R115" s="113" t="s">
        <v>247</v>
      </c>
      <c r="S115" s="116" t="str">
        <f t="shared" si="10"/>
        <v/>
      </c>
      <c r="T115" s="119" t="str">
        <f t="shared" si="12"/>
        <v>Update</v>
      </c>
      <c r="U115" s="128">
        <f t="shared" si="9"/>
        <v>4349100.6917841425</v>
      </c>
    </row>
    <row r="116" spans="1:21" s="85" customFormat="1" ht="26.25" x14ac:dyDescent="0.4">
      <c r="A116" s="15" t="s">
        <v>114</v>
      </c>
      <c r="B116" s="16">
        <v>8281013.3418534342</v>
      </c>
      <c r="C116" s="82">
        <v>59947.199999999997</v>
      </c>
      <c r="D116" s="82">
        <v>10123495.199999999</v>
      </c>
      <c r="E116" s="13">
        <v>11639710.681657672</v>
      </c>
      <c r="F116" s="82">
        <v>6726540</v>
      </c>
      <c r="G116" s="16">
        <f>VLOOKUP(A116,'NPV Analysis'!$A$9:$R$123,16)</f>
        <v>1500294.9488362896</v>
      </c>
      <c r="H116" s="83">
        <f>VLOOKUP(A116,'LRP Tier Groupings'!$A$4:D225,3)</f>
        <v>1</v>
      </c>
      <c r="I116" s="16">
        <f>VLOOKUP(A116,'NPV Analysis'!$A$9:$R$123,2)</f>
        <v>53240733.823334679</v>
      </c>
      <c r="J116" s="110">
        <f t="shared" si="7"/>
        <v>3</v>
      </c>
      <c r="K116" s="16">
        <f t="shared" si="11"/>
        <v>18464455.741853435</v>
      </c>
      <c r="L116" s="118">
        <v>120985.39</v>
      </c>
      <c r="M116" s="84">
        <v>180000</v>
      </c>
      <c r="N116" s="84">
        <v>1</v>
      </c>
      <c r="O116" s="16">
        <f>IF(N116=1,M116*Assumptions!$B$3,IF(N116=2,Assumptions!$C$3*M116,""))</f>
        <v>117000000</v>
      </c>
      <c r="P116" s="16"/>
      <c r="Q116" s="16"/>
      <c r="R116" s="114" t="s">
        <v>160</v>
      </c>
      <c r="S116" s="116">
        <f t="shared" si="10"/>
        <v>0</v>
      </c>
      <c r="T116" s="119" t="b">
        <f t="shared" si="12"/>
        <v>0</v>
      </c>
      <c r="U116" s="128">
        <f t="shared" si="9"/>
        <v>0</v>
      </c>
    </row>
    <row r="117" spans="1:21" s="85" customFormat="1" ht="26.25" x14ac:dyDescent="0.4">
      <c r="A117" s="15" t="s">
        <v>115</v>
      </c>
      <c r="B117" s="16">
        <v>3986438.3869797387</v>
      </c>
      <c r="C117" s="82">
        <v>0</v>
      </c>
      <c r="D117" s="82">
        <v>1006641.6</v>
      </c>
      <c r="E117" s="13">
        <v>11401215.163359061</v>
      </c>
      <c r="F117" s="82">
        <v>8761404</v>
      </c>
      <c r="G117" s="16">
        <f>VLOOKUP(A117,'NPV Analysis'!$A$9:$R$123,16)</f>
        <v>0</v>
      </c>
      <c r="H117" s="83">
        <f>VLOOKUP(A117,'LRP Tier Groupings'!$A$4:D226,3)</f>
        <v>1</v>
      </c>
      <c r="I117" s="16">
        <f>VLOOKUP(A117,'NPV Analysis'!$A$9:$R$123,2)</f>
        <v>31882410.78792987</v>
      </c>
      <c r="J117" s="110">
        <f t="shared" si="7"/>
        <v>3</v>
      </c>
      <c r="K117" s="16">
        <f t="shared" si="11"/>
        <v>4993079.9869797388</v>
      </c>
      <c r="L117" s="118">
        <v>74523.070000000007</v>
      </c>
      <c r="M117" s="84">
        <v>0</v>
      </c>
      <c r="N117" s="84">
        <v>0</v>
      </c>
      <c r="O117" s="16" t="str">
        <f>IF(N117=1,M117*Assumptions!$B$3,IF(N117=2,Assumptions!$C$3*M117,""))</f>
        <v/>
      </c>
      <c r="P117" s="16"/>
      <c r="Q117" s="16"/>
      <c r="R117" s="113" t="s">
        <v>247</v>
      </c>
      <c r="S117" s="116" t="str">
        <f t="shared" si="10"/>
        <v/>
      </c>
      <c r="T117" s="119" t="str">
        <f t="shared" si="12"/>
        <v>Update</v>
      </c>
      <c r="U117" s="128">
        <f t="shared" si="9"/>
        <v>4993079.9869797388</v>
      </c>
    </row>
    <row r="118" spans="1:21" s="85" customFormat="1" ht="26.25" x14ac:dyDescent="0.4">
      <c r="A118" s="15" t="s">
        <v>116</v>
      </c>
      <c r="B118" s="16">
        <v>4789307.0875998195</v>
      </c>
      <c r="C118" s="82">
        <v>0</v>
      </c>
      <c r="D118" s="82">
        <v>5584632</v>
      </c>
      <c r="E118" s="13">
        <v>12087307.191221599</v>
      </c>
      <c r="F118" s="82">
        <v>5977802.3999999994</v>
      </c>
      <c r="G118" s="16">
        <f>VLOOKUP(A118,'NPV Analysis'!$A$9:$R$123,16)</f>
        <v>1664215.7541918957</v>
      </c>
      <c r="H118" s="83">
        <f>VLOOKUP(A118,'LRP Tier Groupings'!$A$4:D227,3)</f>
        <v>0</v>
      </c>
      <c r="I118" s="16">
        <f>VLOOKUP(A118,'NPV Analysis'!$A$9:$R$123,2)</f>
        <v>41658558.91594445</v>
      </c>
      <c r="J118" s="110">
        <f t="shared" si="7"/>
        <v>2</v>
      </c>
      <c r="K118" s="16">
        <f t="shared" si="11"/>
        <v>4789307.0875998195</v>
      </c>
      <c r="L118" s="118">
        <v>64846.23</v>
      </c>
      <c r="M118" s="84">
        <v>0</v>
      </c>
      <c r="N118" s="84">
        <v>0</v>
      </c>
      <c r="O118" s="16" t="str">
        <f>IF(N118=1,M118*Assumptions!$B$3,IF(N118=2,Assumptions!$C$3*M118,""))</f>
        <v/>
      </c>
      <c r="P118" s="16"/>
      <c r="Q118" s="16"/>
      <c r="R118" s="113" t="s">
        <v>247</v>
      </c>
      <c r="S118" s="116" t="str">
        <f t="shared" si="10"/>
        <v/>
      </c>
      <c r="T118" s="119" t="str">
        <f t="shared" si="12"/>
        <v>Update</v>
      </c>
      <c r="U118" s="128">
        <f t="shared" si="9"/>
        <v>4789307.0875998195</v>
      </c>
    </row>
    <row r="119" spans="1:21" s="85" customFormat="1" ht="26.25" x14ac:dyDescent="0.4">
      <c r="A119" s="15" t="s">
        <v>117</v>
      </c>
      <c r="B119" s="16">
        <v>4762313.594725715</v>
      </c>
      <c r="C119" s="82">
        <v>344148</v>
      </c>
      <c r="D119" s="82">
        <v>1355467.2</v>
      </c>
      <c r="E119" s="13">
        <v>8965329.1025878303</v>
      </c>
      <c r="F119" s="82">
        <v>4563991.2</v>
      </c>
      <c r="G119" s="16">
        <f>VLOOKUP(A119,'NPV Analysis'!$A$9:$R$123,16)</f>
        <v>50436.218802785763</v>
      </c>
      <c r="H119" s="83">
        <f>VLOOKUP(A119,'LRP Tier Groupings'!$A$4:D228,3)</f>
        <v>1</v>
      </c>
      <c r="I119" s="16">
        <f>VLOOKUP(A119,'NPV Analysis'!$A$9:$R$123,2)</f>
        <v>25279871.729769345</v>
      </c>
      <c r="J119" s="110">
        <f t="shared" si="7"/>
        <v>3</v>
      </c>
      <c r="K119" s="16">
        <f t="shared" si="11"/>
        <v>6461928.7947257152</v>
      </c>
      <c r="L119" s="118">
        <v>67433</v>
      </c>
      <c r="M119" s="84">
        <v>0</v>
      </c>
      <c r="N119" s="84">
        <v>0</v>
      </c>
      <c r="O119" s="16" t="str">
        <f>IF(N119=1,M119*Assumptions!$B$3,IF(N119=2,Assumptions!$C$3*M119,""))</f>
        <v/>
      </c>
      <c r="P119" s="16"/>
      <c r="Q119" s="16"/>
      <c r="R119" s="113" t="s">
        <v>247</v>
      </c>
      <c r="S119" s="116" t="str">
        <f t="shared" si="10"/>
        <v/>
      </c>
      <c r="T119" s="119" t="str">
        <f t="shared" si="12"/>
        <v>Update</v>
      </c>
      <c r="U119" s="128">
        <f t="shared" si="9"/>
        <v>6461928.7947257152</v>
      </c>
    </row>
    <row r="120" spans="1:21" s="85" customFormat="1" ht="26.25" x14ac:dyDescent="0.4">
      <c r="A120" s="15" t="s">
        <v>118</v>
      </c>
      <c r="B120" s="16">
        <v>6759913.8655797504</v>
      </c>
      <c r="C120" s="82">
        <v>0</v>
      </c>
      <c r="D120" s="82">
        <v>867727.2</v>
      </c>
      <c r="E120" s="13">
        <v>13671201.02856422</v>
      </c>
      <c r="F120" s="82">
        <v>1987524</v>
      </c>
      <c r="G120" s="16">
        <f>VLOOKUP(A120,'NPV Analysis'!$A$9:$R$123,16)</f>
        <v>921448.05780102964</v>
      </c>
      <c r="H120" s="83">
        <f>VLOOKUP(A120,'LRP Tier Groupings'!$A$4:D229,3)</f>
        <v>1</v>
      </c>
      <c r="I120" s="16">
        <f>VLOOKUP(A120,'NPV Analysis'!$A$9:$R$123,2)</f>
        <v>28026943.323452801</v>
      </c>
      <c r="J120" s="110">
        <f t="shared" si="7"/>
        <v>3</v>
      </c>
      <c r="K120" s="16">
        <f t="shared" si="11"/>
        <v>7627641.0655797506</v>
      </c>
      <c r="L120" s="118">
        <v>70473.78</v>
      </c>
      <c r="M120" s="84">
        <v>85000</v>
      </c>
      <c r="N120" s="84">
        <v>1</v>
      </c>
      <c r="O120" s="16">
        <f>IF(N120=1,M120*Assumptions!$B$3,IF(N120=2,Assumptions!$C$3*M120,""))</f>
        <v>55250000</v>
      </c>
      <c r="P120" s="16">
        <v>38790000</v>
      </c>
      <c r="Q120" s="16"/>
      <c r="R120" s="114" t="s">
        <v>168</v>
      </c>
      <c r="S120" s="116">
        <f t="shared" si="10"/>
        <v>38790000</v>
      </c>
      <c r="T120" s="119" t="b">
        <f t="shared" si="12"/>
        <v>0</v>
      </c>
      <c r="U120" s="128">
        <f t="shared" si="9"/>
        <v>38790000</v>
      </c>
    </row>
    <row r="121" spans="1:21" s="85" customFormat="1" ht="26.25" x14ac:dyDescent="0.4">
      <c r="A121" s="15" t="s">
        <v>119</v>
      </c>
      <c r="B121" s="16">
        <v>407558.34460284578</v>
      </c>
      <c r="C121" s="82">
        <v>0</v>
      </c>
      <c r="D121" s="82">
        <v>2453004</v>
      </c>
      <c r="E121" s="13">
        <v>2819835.1552903294</v>
      </c>
      <c r="F121" s="82">
        <v>6430068</v>
      </c>
      <c r="G121" s="16">
        <f>VLOOKUP(A121,'NPV Analysis'!$A$9:$R$123,16)</f>
        <v>0</v>
      </c>
      <c r="H121" s="83">
        <f>VLOOKUP(A121,'LRP Tier Groupings'!$A$4:D230,3)</f>
        <v>1</v>
      </c>
      <c r="I121" s="16">
        <f>VLOOKUP(A121,'NPV Analysis'!$A$9:$R$123,2)</f>
        <v>22700087.514445774</v>
      </c>
      <c r="J121" s="110">
        <f t="shared" si="7"/>
        <v>3</v>
      </c>
      <c r="K121" s="16">
        <f t="shared" si="11"/>
        <v>2860562.3446028456</v>
      </c>
      <c r="L121" s="118">
        <v>53689.279999999999</v>
      </c>
      <c r="M121" s="84">
        <v>0</v>
      </c>
      <c r="N121" s="84">
        <v>0</v>
      </c>
      <c r="O121" s="16" t="str">
        <f>IF(N121=1,M121*Assumptions!$B$3,IF(N121=2,Assumptions!$C$3*M121,""))</f>
        <v/>
      </c>
      <c r="P121" s="16">
        <v>60020368</v>
      </c>
      <c r="Q121" s="16"/>
      <c r="R121" s="113" t="s">
        <v>247</v>
      </c>
      <c r="S121" s="116" t="str">
        <f t="shared" si="10"/>
        <v/>
      </c>
      <c r="T121" s="119" t="str">
        <f t="shared" si="12"/>
        <v>Update</v>
      </c>
      <c r="U121" s="128">
        <f t="shared" si="9"/>
        <v>2860562.3446028456</v>
      </c>
    </row>
    <row r="122" spans="1:21" ht="26.25" x14ac:dyDescent="0.4">
      <c r="A122" s="11" t="s">
        <v>120</v>
      </c>
      <c r="B122" s="12">
        <v>1140156.1192125475</v>
      </c>
      <c r="C122" s="13">
        <v>382999.2</v>
      </c>
      <c r="D122" s="13">
        <v>942463.2</v>
      </c>
      <c r="E122" s="13">
        <v>6952161.7831246033</v>
      </c>
      <c r="F122" s="13">
        <v>6879516</v>
      </c>
      <c r="G122" s="12">
        <f>VLOOKUP(A122,'NPV Analysis'!$A$9:$R$123,16)</f>
        <v>0</v>
      </c>
      <c r="H122" s="68">
        <f>VLOOKUP(A122,'LRP Tier Groupings'!$A$4:D231,3)</f>
        <v>1</v>
      </c>
      <c r="I122" s="12">
        <f>VLOOKUP(A122,'NPV Analysis'!$A$9:$R$123,2)</f>
        <v>31656861.044154663</v>
      </c>
      <c r="J122" s="110">
        <f t="shared" si="7"/>
        <v>3</v>
      </c>
      <c r="K122" s="12">
        <f t="shared" si="11"/>
        <v>2465618.5192125477</v>
      </c>
      <c r="L122" s="121">
        <v>69332.789999999994</v>
      </c>
      <c r="M122" s="14">
        <v>0</v>
      </c>
      <c r="N122" s="14">
        <v>0</v>
      </c>
      <c r="O122" s="12" t="str">
        <f>IF(N122=1,M122*Assumptions!$B$3,IF(N122=2,Assumptions!$C$3*M122,""))</f>
        <v/>
      </c>
      <c r="P122" s="12"/>
      <c r="Q122" s="12"/>
      <c r="R122" s="113" t="s">
        <v>247</v>
      </c>
      <c r="S122" s="116" t="str">
        <f t="shared" si="10"/>
        <v/>
      </c>
      <c r="T122" s="117" t="str">
        <f t="shared" si="12"/>
        <v>Update</v>
      </c>
      <c r="U122" s="128">
        <f t="shared" si="9"/>
        <v>2465618.5192125477</v>
      </c>
    </row>
    <row r="123" spans="1:21" ht="27" thickBot="1" x14ac:dyDescent="0.45">
      <c r="A123" s="18" t="s">
        <v>121</v>
      </c>
      <c r="B123" s="19">
        <v>411595.37402244721</v>
      </c>
      <c r="C123" s="20">
        <v>227296.8</v>
      </c>
      <c r="D123" s="20">
        <v>3485383.1999999997</v>
      </c>
      <c r="E123" s="20">
        <v>6885344.3381110448</v>
      </c>
      <c r="F123" s="20">
        <v>5490924</v>
      </c>
      <c r="G123" s="19">
        <f>VLOOKUP(A123,'NPV Analysis'!$A$9:$R$123,16)</f>
        <v>0</v>
      </c>
      <c r="H123" s="122">
        <f>VLOOKUP(A123,'LRP Tier Groupings'!$A$4:D232,3)</f>
        <v>0</v>
      </c>
      <c r="I123" s="19">
        <f>VLOOKUP(A123,'NPV Analysis'!$A$9:$R$123,2)</f>
        <v>21437317.036978796</v>
      </c>
      <c r="J123" s="123">
        <f t="shared" si="7"/>
        <v>2</v>
      </c>
      <c r="K123" s="19">
        <f t="shared" si="11"/>
        <v>638892.1740224472</v>
      </c>
      <c r="L123" s="124">
        <v>41744.94</v>
      </c>
      <c r="M123" s="21">
        <v>0</v>
      </c>
      <c r="N123" s="21">
        <v>0</v>
      </c>
      <c r="O123" s="19" t="str">
        <f>IF(N123=1,M123*Assumptions!$B$3,IF(N123=2,Assumptions!$C$3*M123,""))</f>
        <v/>
      </c>
      <c r="P123" s="19"/>
      <c r="Q123" s="19"/>
      <c r="R123" s="125" t="s">
        <v>247</v>
      </c>
      <c r="S123" s="126" t="str">
        <f t="shared" si="10"/>
        <v/>
      </c>
      <c r="T123" s="127" t="str">
        <f t="shared" si="12"/>
        <v>Update</v>
      </c>
      <c r="U123" s="129">
        <f t="shared" si="9"/>
        <v>638892.1740224472</v>
      </c>
    </row>
    <row r="124" spans="1:21" ht="25.5" customHeight="1" x14ac:dyDescent="0.4">
      <c r="P124" s="88"/>
      <c r="Q124" s="88"/>
    </row>
    <row r="125" spans="1:21" ht="15.75" customHeight="1" x14ac:dyDescent="0.4"/>
    <row r="126" spans="1:21" ht="15.75" customHeight="1" x14ac:dyDescent="0.4"/>
    <row r="127" spans="1:21" ht="15.75" customHeight="1" x14ac:dyDescent="0.4"/>
    <row r="128" spans="1:21" ht="24" customHeight="1" x14ac:dyDescent="0.4">
      <c r="B128" s="112"/>
    </row>
    <row r="129" spans="1:1" ht="26.25" x14ac:dyDescent="0.4"/>
    <row r="130" spans="1:1" ht="26.25" x14ac:dyDescent="0.4"/>
    <row r="131" spans="1:1" ht="15.75" customHeight="1" x14ac:dyDescent="0.4"/>
    <row r="132" spans="1:1" ht="15.75" customHeight="1" x14ac:dyDescent="0.4"/>
    <row r="133" spans="1:1" ht="15.75" customHeight="1" x14ac:dyDescent="0.4"/>
    <row r="134" spans="1:1" ht="15.75" customHeight="1" x14ac:dyDescent="0.4">
      <c r="A134" s="22"/>
    </row>
    <row r="135" spans="1:1" ht="15.75" customHeight="1" x14ac:dyDescent="0.4"/>
    <row r="136" spans="1:1" ht="15.75" customHeight="1" x14ac:dyDescent="0.4"/>
    <row r="137" spans="1:1" ht="15.75" customHeight="1" x14ac:dyDescent="0.4"/>
    <row r="138" spans="1:1" ht="15.75" customHeight="1" x14ac:dyDescent="0.4"/>
    <row r="139" spans="1:1" ht="15.75" customHeight="1" x14ac:dyDescent="0.4"/>
    <row r="140" spans="1:1" ht="15.75" customHeight="1" x14ac:dyDescent="0.4"/>
    <row r="141" spans="1:1" ht="15.75" customHeight="1" x14ac:dyDescent="0.4"/>
    <row r="142" spans="1:1" ht="15.75" customHeight="1" x14ac:dyDescent="0.4"/>
    <row r="143" spans="1:1" ht="15.75" customHeight="1" x14ac:dyDescent="0.4"/>
    <row r="144" spans="1:1" ht="15.75" customHeight="1" x14ac:dyDescent="0.4"/>
    <row r="145" ht="15.75" customHeight="1" x14ac:dyDescent="0.4"/>
    <row r="146" ht="15.75" customHeight="1" x14ac:dyDescent="0.4"/>
    <row r="147" ht="15.75" customHeight="1" x14ac:dyDescent="0.4"/>
    <row r="148" ht="15.75" customHeight="1" x14ac:dyDescent="0.4"/>
    <row r="149" ht="15.75" customHeight="1" x14ac:dyDescent="0.4"/>
    <row r="150" ht="15.75" customHeight="1" x14ac:dyDescent="0.4"/>
    <row r="151" ht="15.75" customHeight="1" x14ac:dyDescent="0.4"/>
    <row r="152" ht="15.75" customHeight="1" x14ac:dyDescent="0.4"/>
    <row r="153" ht="15.75" customHeight="1" x14ac:dyDescent="0.4"/>
    <row r="154" ht="15.75" customHeight="1" x14ac:dyDescent="0.4"/>
    <row r="155" ht="15.75" customHeight="1" x14ac:dyDescent="0.4"/>
    <row r="156" ht="15.75" customHeight="1" x14ac:dyDescent="0.4"/>
    <row r="157" ht="15.75" customHeight="1" x14ac:dyDescent="0.4"/>
    <row r="158" ht="15.75" customHeight="1" x14ac:dyDescent="0.4"/>
    <row r="159" ht="15.75" customHeight="1" x14ac:dyDescent="0.4"/>
    <row r="160" ht="15.75" customHeight="1" x14ac:dyDescent="0.4"/>
    <row r="161" ht="15.75" customHeight="1" x14ac:dyDescent="0.4"/>
    <row r="162" ht="15.75" customHeight="1" x14ac:dyDescent="0.4"/>
    <row r="163" ht="15.75" customHeight="1" x14ac:dyDescent="0.4"/>
    <row r="164" ht="15.75" customHeight="1" x14ac:dyDescent="0.4"/>
    <row r="165" ht="15.75" customHeight="1" x14ac:dyDescent="0.4"/>
    <row r="166" ht="15.75" customHeight="1" x14ac:dyDescent="0.4"/>
    <row r="167" ht="15.75" customHeight="1" x14ac:dyDescent="0.4"/>
    <row r="168" ht="15.75" customHeight="1" x14ac:dyDescent="0.4"/>
    <row r="169" ht="15.75" customHeight="1" x14ac:dyDescent="0.4"/>
    <row r="170" ht="15.75" customHeight="1" x14ac:dyDescent="0.4"/>
    <row r="171" ht="15.75" customHeight="1" x14ac:dyDescent="0.4"/>
    <row r="172" ht="15.75" customHeight="1" x14ac:dyDescent="0.4"/>
    <row r="173" ht="15.75" customHeight="1" x14ac:dyDescent="0.4"/>
    <row r="174" ht="15.75" customHeight="1" x14ac:dyDescent="0.4"/>
    <row r="175" ht="15.75" customHeight="1" x14ac:dyDescent="0.4"/>
    <row r="176" ht="15.75" customHeight="1" x14ac:dyDescent="0.4"/>
    <row r="177" ht="15.75" customHeight="1" x14ac:dyDescent="0.4"/>
    <row r="178" ht="15.75" customHeight="1" x14ac:dyDescent="0.4"/>
    <row r="179" ht="15.75" customHeight="1" x14ac:dyDescent="0.4"/>
    <row r="180" ht="15.75" customHeight="1" x14ac:dyDescent="0.4"/>
    <row r="181" ht="15.75" customHeight="1" x14ac:dyDescent="0.4"/>
    <row r="182" ht="15.75" customHeight="1" x14ac:dyDescent="0.4"/>
    <row r="183" ht="15.75" customHeight="1" x14ac:dyDescent="0.4"/>
    <row r="184" ht="15.75" customHeight="1" x14ac:dyDescent="0.4"/>
    <row r="185" ht="15.75" customHeight="1" x14ac:dyDescent="0.4"/>
    <row r="186" ht="15.75" customHeight="1" x14ac:dyDescent="0.4"/>
    <row r="187" ht="15.75" customHeight="1" x14ac:dyDescent="0.4"/>
    <row r="188" ht="15.75" customHeight="1" x14ac:dyDescent="0.4"/>
    <row r="189" ht="15.75" customHeight="1" x14ac:dyDescent="0.4"/>
    <row r="190" ht="15.75" customHeight="1" x14ac:dyDescent="0.4"/>
    <row r="191" ht="15.75" customHeight="1" x14ac:dyDescent="0.4"/>
    <row r="192" ht="15.75" customHeight="1" x14ac:dyDescent="0.4"/>
    <row r="193" ht="15.75" customHeight="1" x14ac:dyDescent="0.4"/>
    <row r="194" ht="15.75" customHeight="1" x14ac:dyDescent="0.4"/>
    <row r="195" ht="15.75" customHeight="1" x14ac:dyDescent="0.4"/>
    <row r="196" ht="15.75" customHeight="1" x14ac:dyDescent="0.4"/>
    <row r="197" ht="15.75" customHeight="1" x14ac:dyDescent="0.4"/>
    <row r="198" ht="15.75" customHeight="1" x14ac:dyDescent="0.4"/>
    <row r="199" ht="15.75" customHeight="1" x14ac:dyDescent="0.4"/>
    <row r="200" ht="15.75" customHeight="1" x14ac:dyDescent="0.4"/>
    <row r="201" ht="15.75" customHeight="1" x14ac:dyDescent="0.4"/>
    <row r="202" ht="15.75" customHeight="1" x14ac:dyDescent="0.4"/>
    <row r="203" ht="15.75" customHeight="1" x14ac:dyDescent="0.4"/>
    <row r="204" ht="15.75" customHeight="1" x14ac:dyDescent="0.4"/>
    <row r="205" ht="15.75" customHeight="1" x14ac:dyDescent="0.4"/>
    <row r="206" ht="15.75" customHeight="1" x14ac:dyDescent="0.4"/>
    <row r="207" ht="15.75" customHeight="1" x14ac:dyDescent="0.4"/>
    <row r="208" ht="15.75" customHeight="1" x14ac:dyDescent="0.4"/>
    <row r="209" ht="15.75" customHeight="1" x14ac:dyDescent="0.4"/>
    <row r="210" ht="15.75" customHeight="1" x14ac:dyDescent="0.4"/>
    <row r="211" ht="15.75" customHeight="1" x14ac:dyDescent="0.4"/>
    <row r="212" ht="15.75" customHeight="1" x14ac:dyDescent="0.4"/>
    <row r="213" ht="15.75" customHeight="1" x14ac:dyDescent="0.4"/>
    <row r="214" ht="15.75" customHeight="1" x14ac:dyDescent="0.4"/>
    <row r="215" ht="15.75" customHeight="1" x14ac:dyDescent="0.4"/>
    <row r="216" ht="15.75" customHeight="1" x14ac:dyDescent="0.4"/>
    <row r="217" ht="15.75" customHeight="1" x14ac:dyDescent="0.4"/>
    <row r="218" ht="15.75" customHeight="1" x14ac:dyDescent="0.4"/>
    <row r="219" ht="15.75" customHeight="1" x14ac:dyDescent="0.4"/>
    <row r="220" ht="15.75" customHeight="1" x14ac:dyDescent="0.4"/>
    <row r="221" ht="15.75" customHeight="1" x14ac:dyDescent="0.4"/>
    <row r="222" ht="15.75" customHeight="1" x14ac:dyDescent="0.4"/>
    <row r="223" ht="15.75" customHeight="1" x14ac:dyDescent="0.4"/>
    <row r="224" ht="15.75" customHeight="1" x14ac:dyDescent="0.4"/>
    <row r="225" ht="15.75" customHeight="1" x14ac:dyDescent="0.4"/>
    <row r="226" ht="15.75" customHeight="1" x14ac:dyDescent="0.4"/>
    <row r="227" ht="15.75" customHeight="1" x14ac:dyDescent="0.4"/>
    <row r="228" ht="15.75" customHeight="1" x14ac:dyDescent="0.4"/>
    <row r="229" ht="15.75" customHeight="1" x14ac:dyDescent="0.4"/>
    <row r="230" ht="15.75" customHeight="1" x14ac:dyDescent="0.4"/>
    <row r="231" ht="15.75" customHeight="1" x14ac:dyDescent="0.4"/>
    <row r="232" ht="15.75" customHeight="1" x14ac:dyDescent="0.4"/>
    <row r="233" ht="15.75" customHeight="1" x14ac:dyDescent="0.4"/>
    <row r="234" ht="15.75" customHeight="1" x14ac:dyDescent="0.4"/>
    <row r="235" ht="15.75" customHeight="1" x14ac:dyDescent="0.4"/>
    <row r="236" ht="15.75" customHeight="1" x14ac:dyDescent="0.4"/>
    <row r="237" ht="15.75" customHeight="1" x14ac:dyDescent="0.4"/>
    <row r="238" ht="15.75" customHeight="1" x14ac:dyDescent="0.4"/>
    <row r="239" ht="15.75" customHeight="1" x14ac:dyDescent="0.4"/>
    <row r="240" ht="15.75" customHeight="1" x14ac:dyDescent="0.4"/>
    <row r="241" ht="15.75" customHeight="1" x14ac:dyDescent="0.4"/>
    <row r="242" ht="15.75" customHeight="1" x14ac:dyDescent="0.4"/>
    <row r="243" ht="15.75" customHeight="1" x14ac:dyDescent="0.4"/>
    <row r="244" ht="15.75" customHeight="1" x14ac:dyDescent="0.4"/>
    <row r="245" ht="15.75" customHeight="1" x14ac:dyDescent="0.4"/>
    <row r="246" ht="15.75" customHeight="1" x14ac:dyDescent="0.4"/>
    <row r="247" ht="15.75" customHeight="1" x14ac:dyDescent="0.4"/>
    <row r="248" ht="15.75" customHeight="1" x14ac:dyDescent="0.4"/>
    <row r="249" ht="15.75" customHeight="1" x14ac:dyDescent="0.4"/>
    <row r="250" ht="15.75" customHeight="1" x14ac:dyDescent="0.4"/>
    <row r="251" ht="15.75" customHeight="1" x14ac:dyDescent="0.4"/>
    <row r="252" ht="15.75" customHeight="1" x14ac:dyDescent="0.4"/>
    <row r="253" ht="15.75" customHeight="1" x14ac:dyDescent="0.4"/>
    <row r="254" ht="15.75" customHeight="1" x14ac:dyDescent="0.4"/>
    <row r="255" ht="15.75" customHeight="1" x14ac:dyDescent="0.4"/>
    <row r="256" ht="15.75" customHeight="1" x14ac:dyDescent="0.4"/>
    <row r="257" ht="15.75" customHeight="1" x14ac:dyDescent="0.4"/>
    <row r="258" ht="15.75" customHeight="1" x14ac:dyDescent="0.4"/>
    <row r="259" ht="15.75" customHeight="1" x14ac:dyDescent="0.4"/>
    <row r="260" ht="15.75" customHeight="1" x14ac:dyDescent="0.4"/>
    <row r="261" ht="15.75" customHeight="1" x14ac:dyDescent="0.4"/>
    <row r="262" ht="15.75" customHeight="1" x14ac:dyDescent="0.4"/>
    <row r="263" ht="15.75" customHeight="1" x14ac:dyDescent="0.4"/>
    <row r="264" ht="15.75" customHeight="1" x14ac:dyDescent="0.4"/>
    <row r="265" ht="15.75" customHeight="1" x14ac:dyDescent="0.4"/>
    <row r="266" ht="15.75" customHeight="1" x14ac:dyDescent="0.4"/>
    <row r="267" ht="15.75" customHeight="1" x14ac:dyDescent="0.4"/>
    <row r="268" ht="15.75" customHeight="1" x14ac:dyDescent="0.4"/>
    <row r="269" ht="15.75" customHeight="1" x14ac:dyDescent="0.4"/>
    <row r="270" ht="15.75" customHeight="1" x14ac:dyDescent="0.4"/>
    <row r="271" ht="15.75" customHeight="1" x14ac:dyDescent="0.4"/>
    <row r="272" ht="15.75" customHeight="1" x14ac:dyDescent="0.4"/>
    <row r="273" ht="15.75" customHeight="1" x14ac:dyDescent="0.4"/>
    <row r="274" ht="15.75" customHeight="1" x14ac:dyDescent="0.4"/>
    <row r="275" ht="15.75" customHeight="1" x14ac:dyDescent="0.4"/>
    <row r="276" ht="15.75" customHeight="1" x14ac:dyDescent="0.4"/>
    <row r="277" ht="15.75" customHeight="1" x14ac:dyDescent="0.4"/>
    <row r="278" ht="15.75" customHeight="1" x14ac:dyDescent="0.4"/>
    <row r="279" ht="15.75" customHeight="1" x14ac:dyDescent="0.4"/>
    <row r="280" ht="15.75" customHeight="1" x14ac:dyDescent="0.4"/>
    <row r="281" ht="15.75" customHeight="1" x14ac:dyDescent="0.4"/>
    <row r="282" ht="15.75" customHeight="1" x14ac:dyDescent="0.4"/>
    <row r="283" ht="15.75" customHeight="1" x14ac:dyDescent="0.4"/>
    <row r="284" ht="15.75" customHeight="1" x14ac:dyDescent="0.4"/>
    <row r="285" ht="15.75" customHeight="1" x14ac:dyDescent="0.4"/>
    <row r="286" ht="15.75" customHeight="1" x14ac:dyDescent="0.4"/>
    <row r="287" ht="15.75" customHeight="1" x14ac:dyDescent="0.4"/>
    <row r="288" ht="15.75" customHeight="1" x14ac:dyDescent="0.4"/>
    <row r="289" ht="15.75" customHeight="1" x14ac:dyDescent="0.4"/>
    <row r="290" ht="15.75" customHeight="1" x14ac:dyDescent="0.4"/>
    <row r="291" ht="15.75" customHeight="1" x14ac:dyDescent="0.4"/>
    <row r="292" ht="15.75" customHeight="1" x14ac:dyDescent="0.4"/>
    <row r="293" ht="15.75" customHeight="1" x14ac:dyDescent="0.4"/>
    <row r="294" ht="15.75" customHeight="1" x14ac:dyDescent="0.4"/>
    <row r="295" ht="15.75" customHeight="1" x14ac:dyDescent="0.4"/>
    <row r="296" ht="15.75" customHeight="1" x14ac:dyDescent="0.4"/>
    <row r="297" ht="15.75" customHeight="1" x14ac:dyDescent="0.4"/>
    <row r="298" ht="15.75" customHeight="1" x14ac:dyDescent="0.4"/>
    <row r="299" ht="15.75" customHeight="1" x14ac:dyDescent="0.4"/>
    <row r="300" ht="15.75" customHeight="1" x14ac:dyDescent="0.4"/>
    <row r="301" ht="15.75" customHeight="1" x14ac:dyDescent="0.4"/>
    <row r="302" ht="15.75" customHeight="1" x14ac:dyDescent="0.4"/>
    <row r="303" ht="15.75" customHeight="1" x14ac:dyDescent="0.4"/>
    <row r="304" ht="15.75" customHeight="1" x14ac:dyDescent="0.4"/>
    <row r="305" ht="15.75" customHeight="1" x14ac:dyDescent="0.4"/>
    <row r="306" ht="15.75" customHeight="1" x14ac:dyDescent="0.4"/>
    <row r="307" ht="15.75" customHeight="1" x14ac:dyDescent="0.4"/>
    <row r="308" ht="15.75" customHeight="1" x14ac:dyDescent="0.4"/>
    <row r="309" ht="15.75" customHeight="1" x14ac:dyDescent="0.4"/>
    <row r="310" ht="15.75" customHeight="1" x14ac:dyDescent="0.4"/>
    <row r="311" ht="15.75" customHeight="1" x14ac:dyDescent="0.4"/>
    <row r="312" ht="15.75" customHeight="1" x14ac:dyDescent="0.4"/>
    <row r="313" ht="15.75" customHeight="1" x14ac:dyDescent="0.4"/>
    <row r="314" ht="15.75" customHeight="1" x14ac:dyDescent="0.4"/>
    <row r="315" ht="15.75" customHeight="1" x14ac:dyDescent="0.4"/>
    <row r="316" ht="15.75" customHeight="1" x14ac:dyDescent="0.4"/>
    <row r="317" ht="15.75" customHeight="1" x14ac:dyDescent="0.4"/>
    <row r="318" ht="15.75" customHeight="1" x14ac:dyDescent="0.4"/>
    <row r="319" ht="15.75" customHeight="1" x14ac:dyDescent="0.4"/>
    <row r="320" ht="15.75" customHeight="1" x14ac:dyDescent="0.4"/>
    <row r="321" ht="15.75" customHeight="1" x14ac:dyDescent="0.4"/>
    <row r="322" ht="15.75" customHeight="1" x14ac:dyDescent="0.4"/>
    <row r="323" ht="15.75" customHeight="1" x14ac:dyDescent="0.4"/>
    <row r="324" ht="15.75" customHeight="1" x14ac:dyDescent="0.4"/>
    <row r="325" ht="15.75" customHeight="1" x14ac:dyDescent="0.4"/>
    <row r="326" ht="15.75" customHeight="1" x14ac:dyDescent="0.4"/>
    <row r="327" ht="15.75" customHeight="1" x14ac:dyDescent="0.4"/>
    <row r="328" ht="15.75" customHeight="1" x14ac:dyDescent="0.4"/>
    <row r="329" ht="15.75" customHeight="1" x14ac:dyDescent="0.4"/>
    <row r="330" ht="15.75" customHeight="1" x14ac:dyDescent="0.4"/>
    <row r="331" ht="15.75" customHeight="1" x14ac:dyDescent="0.4"/>
    <row r="332" ht="15.75" customHeight="1" x14ac:dyDescent="0.4"/>
    <row r="333" ht="15.75" customHeight="1" x14ac:dyDescent="0.4"/>
    <row r="334" ht="15.75" customHeight="1" x14ac:dyDescent="0.4"/>
    <row r="335" ht="15.75" customHeight="1" x14ac:dyDescent="0.4"/>
    <row r="336" ht="15.75" customHeight="1" x14ac:dyDescent="0.4"/>
    <row r="337" ht="15.75" customHeight="1" x14ac:dyDescent="0.4"/>
    <row r="338" ht="15.75" customHeight="1" x14ac:dyDescent="0.4"/>
    <row r="339" ht="15.75" customHeight="1" x14ac:dyDescent="0.4"/>
    <row r="340" ht="15.75" customHeight="1" x14ac:dyDescent="0.4"/>
    <row r="341" ht="15.75" customHeight="1" x14ac:dyDescent="0.4"/>
    <row r="342" ht="15.75" customHeight="1" x14ac:dyDescent="0.4"/>
    <row r="343" ht="15.75" customHeight="1" x14ac:dyDescent="0.4"/>
    <row r="344" ht="15.75" customHeight="1" x14ac:dyDescent="0.4"/>
    <row r="345" ht="15.75" customHeight="1" x14ac:dyDescent="0.4"/>
    <row r="346" ht="15.75" customHeight="1" x14ac:dyDescent="0.4"/>
    <row r="347" ht="15.75" customHeight="1" x14ac:dyDescent="0.4"/>
    <row r="348" ht="15.75" customHeight="1" x14ac:dyDescent="0.4"/>
    <row r="349" ht="15.75" customHeight="1" x14ac:dyDescent="0.4"/>
    <row r="350" ht="15.75" customHeight="1" x14ac:dyDescent="0.4"/>
    <row r="351" ht="15.75" customHeight="1" x14ac:dyDescent="0.4"/>
    <row r="352" ht="15.75" customHeight="1" x14ac:dyDescent="0.4"/>
    <row r="353" ht="15.75" customHeight="1" x14ac:dyDescent="0.4"/>
    <row r="354" ht="15.75" customHeight="1" x14ac:dyDescent="0.4"/>
    <row r="355" ht="15.75" customHeight="1" x14ac:dyDescent="0.4"/>
    <row r="356" ht="15.75" customHeight="1" x14ac:dyDescent="0.4"/>
    <row r="357" ht="15.75" customHeight="1" x14ac:dyDescent="0.4"/>
    <row r="358" ht="15.75" customHeight="1" x14ac:dyDescent="0.4"/>
    <row r="359" ht="15.75" customHeight="1" x14ac:dyDescent="0.4"/>
    <row r="360" ht="15.75" customHeight="1" x14ac:dyDescent="0.4"/>
    <row r="361" ht="15.75" customHeight="1" x14ac:dyDescent="0.4"/>
    <row r="362" ht="15.75" customHeight="1" x14ac:dyDescent="0.4"/>
    <row r="363" ht="15.75" customHeight="1" x14ac:dyDescent="0.4"/>
    <row r="364" ht="15.75" customHeight="1" x14ac:dyDescent="0.4"/>
    <row r="365" ht="15.75" customHeight="1" x14ac:dyDescent="0.4"/>
    <row r="366" ht="15.75" customHeight="1" x14ac:dyDescent="0.4"/>
    <row r="367" ht="15.75" customHeight="1" x14ac:dyDescent="0.4"/>
    <row r="368" ht="15.75" customHeight="1" x14ac:dyDescent="0.4"/>
    <row r="369" ht="15.75" customHeight="1" x14ac:dyDescent="0.4"/>
    <row r="370" ht="15.75" customHeight="1" x14ac:dyDescent="0.4"/>
    <row r="371" ht="15.75" customHeight="1" x14ac:dyDescent="0.4"/>
    <row r="372" ht="15.75" customHeight="1" x14ac:dyDescent="0.4"/>
    <row r="373" ht="15.75" customHeight="1" x14ac:dyDescent="0.4"/>
    <row r="374" ht="15.75" customHeight="1" x14ac:dyDescent="0.4"/>
    <row r="375" ht="15.75" customHeight="1" x14ac:dyDescent="0.4"/>
    <row r="376" ht="15.75" customHeight="1" x14ac:dyDescent="0.4"/>
    <row r="377" ht="15.75" customHeight="1" x14ac:dyDescent="0.4"/>
    <row r="378" ht="15.75" customHeight="1" x14ac:dyDescent="0.4"/>
    <row r="379" ht="15.75" customHeight="1" x14ac:dyDescent="0.4"/>
    <row r="380" ht="15.75" customHeight="1" x14ac:dyDescent="0.4"/>
    <row r="381" ht="15.75" customHeight="1" x14ac:dyDescent="0.4"/>
    <row r="382" ht="15.75" customHeight="1" x14ac:dyDescent="0.4"/>
    <row r="383" ht="15.75" customHeight="1" x14ac:dyDescent="0.4"/>
    <row r="384" ht="15.75" customHeight="1" x14ac:dyDescent="0.4"/>
    <row r="385" ht="15.75" customHeight="1" x14ac:dyDescent="0.4"/>
    <row r="386" ht="15.75" customHeight="1" x14ac:dyDescent="0.4"/>
    <row r="387" ht="15.75" customHeight="1" x14ac:dyDescent="0.4"/>
    <row r="388" ht="15.75" customHeight="1" x14ac:dyDescent="0.4"/>
    <row r="389" ht="15.75" customHeight="1" x14ac:dyDescent="0.4"/>
    <row r="390" ht="15.75" customHeight="1" x14ac:dyDescent="0.4"/>
    <row r="391" ht="15.75" customHeight="1" x14ac:dyDescent="0.4"/>
    <row r="392" ht="15.75" customHeight="1" x14ac:dyDescent="0.4"/>
    <row r="393" ht="15.75" customHeight="1" x14ac:dyDescent="0.4"/>
    <row r="394" ht="15.75" customHeight="1" x14ac:dyDescent="0.4"/>
    <row r="395" ht="15.75" customHeight="1" x14ac:dyDescent="0.4"/>
    <row r="396" ht="15.75" customHeight="1" x14ac:dyDescent="0.4"/>
    <row r="397" ht="15.75" customHeight="1" x14ac:dyDescent="0.4"/>
    <row r="398" ht="15.75" customHeight="1" x14ac:dyDescent="0.4"/>
    <row r="399" ht="15.75" customHeight="1" x14ac:dyDescent="0.4"/>
    <row r="400" ht="15.75" customHeight="1" x14ac:dyDescent="0.4"/>
    <row r="401" ht="15.75" customHeight="1" x14ac:dyDescent="0.4"/>
    <row r="402" ht="15.75" customHeight="1" x14ac:dyDescent="0.4"/>
    <row r="403" ht="15.75" customHeight="1" x14ac:dyDescent="0.4"/>
    <row r="404" ht="15.75" customHeight="1" x14ac:dyDescent="0.4"/>
    <row r="405" ht="15.75" customHeight="1" x14ac:dyDescent="0.4"/>
    <row r="406" ht="15.75" customHeight="1" x14ac:dyDescent="0.4"/>
    <row r="407" ht="15.75" customHeight="1" x14ac:dyDescent="0.4"/>
    <row r="408" ht="15.75" customHeight="1" x14ac:dyDescent="0.4"/>
    <row r="409" ht="15.75" customHeight="1" x14ac:dyDescent="0.4"/>
    <row r="410" ht="15.75" customHeight="1" x14ac:dyDescent="0.4"/>
    <row r="411" ht="15.75" customHeight="1" x14ac:dyDescent="0.4"/>
    <row r="412" ht="15.75" customHeight="1" x14ac:dyDescent="0.4"/>
    <row r="413" ht="15.75" customHeight="1" x14ac:dyDescent="0.4"/>
    <row r="414" ht="15.75" customHeight="1" x14ac:dyDescent="0.4"/>
    <row r="415" ht="15.75" customHeight="1" x14ac:dyDescent="0.4"/>
    <row r="416" ht="15.75" customHeight="1" x14ac:dyDescent="0.4"/>
    <row r="417" ht="15.75" customHeight="1" x14ac:dyDescent="0.4"/>
    <row r="418" ht="15.75" customHeight="1" x14ac:dyDescent="0.4"/>
    <row r="419" ht="15.75" customHeight="1" x14ac:dyDescent="0.4"/>
    <row r="420" ht="15.75" customHeight="1" x14ac:dyDescent="0.4"/>
    <row r="421" ht="15.75" customHeight="1" x14ac:dyDescent="0.4"/>
    <row r="422" ht="15.75" customHeight="1" x14ac:dyDescent="0.4"/>
    <row r="423" ht="15.75" customHeight="1" x14ac:dyDescent="0.4"/>
    <row r="424" ht="15.75" customHeight="1" x14ac:dyDescent="0.4"/>
    <row r="425" ht="15.75" customHeight="1" x14ac:dyDescent="0.4"/>
    <row r="426" ht="15.75" customHeight="1" x14ac:dyDescent="0.4"/>
    <row r="427" ht="15.75" customHeight="1" x14ac:dyDescent="0.4"/>
    <row r="428" ht="15.75" customHeight="1" x14ac:dyDescent="0.4"/>
    <row r="429" ht="15.75" customHeight="1" x14ac:dyDescent="0.4"/>
    <row r="430" ht="15.75" customHeight="1" x14ac:dyDescent="0.4"/>
    <row r="431" ht="15.75" customHeight="1" x14ac:dyDescent="0.4"/>
    <row r="432" ht="15.75" customHeight="1" x14ac:dyDescent="0.4"/>
    <row r="433" ht="15.75" customHeight="1" x14ac:dyDescent="0.4"/>
    <row r="434" ht="15.75" customHeight="1" x14ac:dyDescent="0.4"/>
    <row r="435" ht="15.75" customHeight="1" x14ac:dyDescent="0.4"/>
    <row r="436" ht="15.75" customHeight="1" x14ac:dyDescent="0.4"/>
    <row r="437" ht="15.75" customHeight="1" x14ac:dyDescent="0.4"/>
    <row r="438" ht="15.75" customHeight="1" x14ac:dyDescent="0.4"/>
    <row r="439" ht="15.75" customHeight="1" x14ac:dyDescent="0.4"/>
    <row r="440" ht="15.75" customHeight="1" x14ac:dyDescent="0.4"/>
    <row r="441" ht="15.75" customHeight="1" x14ac:dyDescent="0.4"/>
    <row r="442" ht="15.75" customHeight="1" x14ac:dyDescent="0.4"/>
    <row r="443" ht="15.75" customHeight="1" x14ac:dyDescent="0.4"/>
    <row r="444" ht="15.75" customHeight="1" x14ac:dyDescent="0.4"/>
    <row r="445" ht="15.75" customHeight="1" x14ac:dyDescent="0.4"/>
    <row r="446" ht="15.75" customHeight="1" x14ac:dyDescent="0.4"/>
    <row r="447" ht="15.75" customHeight="1" x14ac:dyDescent="0.4"/>
    <row r="448" ht="15.75" customHeight="1" x14ac:dyDescent="0.4"/>
    <row r="449" ht="15.75" customHeight="1" x14ac:dyDescent="0.4"/>
    <row r="450" ht="15.75" customHeight="1" x14ac:dyDescent="0.4"/>
    <row r="451" ht="15.75" customHeight="1" x14ac:dyDescent="0.4"/>
    <row r="452" ht="15.75" customHeight="1" x14ac:dyDescent="0.4"/>
    <row r="453" ht="15.75" customHeight="1" x14ac:dyDescent="0.4"/>
    <row r="454" ht="15.75" customHeight="1" x14ac:dyDescent="0.4"/>
    <row r="455" ht="15.75" customHeight="1" x14ac:dyDescent="0.4"/>
    <row r="456" ht="15.75" customHeight="1" x14ac:dyDescent="0.4"/>
    <row r="457" ht="15.75" customHeight="1" x14ac:dyDescent="0.4"/>
    <row r="458" ht="15.75" customHeight="1" x14ac:dyDescent="0.4"/>
    <row r="459" ht="15.75" customHeight="1" x14ac:dyDescent="0.4"/>
    <row r="460" ht="15.75" customHeight="1" x14ac:dyDescent="0.4"/>
    <row r="461" ht="15.75" customHeight="1" x14ac:dyDescent="0.4"/>
    <row r="462" ht="15.75" customHeight="1" x14ac:dyDescent="0.4"/>
    <row r="463" ht="15.75" customHeight="1" x14ac:dyDescent="0.4"/>
    <row r="464" ht="15.75" customHeight="1" x14ac:dyDescent="0.4"/>
    <row r="465" ht="15.75" customHeight="1" x14ac:dyDescent="0.4"/>
    <row r="466" ht="15.75" customHeight="1" x14ac:dyDescent="0.4"/>
    <row r="467" ht="15.75" customHeight="1" x14ac:dyDescent="0.4"/>
    <row r="468" ht="15.75" customHeight="1" x14ac:dyDescent="0.4"/>
    <row r="469" ht="15.75" customHeight="1" x14ac:dyDescent="0.4"/>
    <row r="470" ht="15.75" customHeight="1" x14ac:dyDescent="0.4"/>
    <row r="471" ht="15.75" customHeight="1" x14ac:dyDescent="0.4"/>
    <row r="472" ht="15.75" customHeight="1" x14ac:dyDescent="0.4"/>
    <row r="473" ht="15.75" customHeight="1" x14ac:dyDescent="0.4"/>
    <row r="474" ht="15.75" customHeight="1" x14ac:dyDescent="0.4"/>
    <row r="475" ht="15.75" customHeight="1" x14ac:dyDescent="0.4"/>
    <row r="476" ht="15.75" customHeight="1" x14ac:dyDescent="0.4"/>
    <row r="477" ht="15.75" customHeight="1" x14ac:dyDescent="0.4"/>
    <row r="478" ht="15.75" customHeight="1" x14ac:dyDescent="0.4"/>
    <row r="479" ht="15.75" customHeight="1" x14ac:dyDescent="0.4"/>
    <row r="480" ht="15.75" customHeight="1" x14ac:dyDescent="0.4"/>
    <row r="481" ht="15.75" customHeight="1" x14ac:dyDescent="0.4"/>
    <row r="482" ht="15.75" customHeight="1" x14ac:dyDescent="0.4"/>
    <row r="483" ht="15.75" customHeight="1" x14ac:dyDescent="0.4"/>
    <row r="484" ht="15.75" customHeight="1" x14ac:dyDescent="0.4"/>
    <row r="485" ht="15.75" customHeight="1" x14ac:dyDescent="0.4"/>
    <row r="486" ht="15.75" customHeight="1" x14ac:dyDescent="0.4"/>
    <row r="487" ht="15.75" customHeight="1" x14ac:dyDescent="0.4"/>
    <row r="488" ht="15.75" customHeight="1" x14ac:dyDescent="0.4"/>
    <row r="489" ht="15.75" customHeight="1" x14ac:dyDescent="0.4"/>
    <row r="490" ht="15.75" customHeight="1" x14ac:dyDescent="0.4"/>
    <row r="491" ht="15.75" customHeight="1" x14ac:dyDescent="0.4"/>
    <row r="492" ht="15.75" customHeight="1" x14ac:dyDescent="0.4"/>
    <row r="493" ht="15.75" customHeight="1" x14ac:dyDescent="0.4"/>
    <row r="494" ht="15.75" customHeight="1" x14ac:dyDescent="0.4"/>
    <row r="495" ht="15.75" customHeight="1" x14ac:dyDescent="0.4"/>
    <row r="496" ht="15.75" customHeight="1" x14ac:dyDescent="0.4"/>
    <row r="497" ht="15.75" customHeight="1" x14ac:dyDescent="0.4"/>
    <row r="498" ht="15.75" customHeight="1" x14ac:dyDescent="0.4"/>
    <row r="499" ht="15.75" customHeight="1" x14ac:dyDescent="0.4"/>
    <row r="500" ht="15.75" customHeight="1" x14ac:dyDescent="0.4"/>
    <row r="501" ht="15.75" customHeight="1" x14ac:dyDescent="0.4"/>
    <row r="502" ht="15.75" customHeight="1" x14ac:dyDescent="0.4"/>
    <row r="503" ht="15.75" customHeight="1" x14ac:dyDescent="0.4"/>
    <row r="504" ht="15.75" customHeight="1" x14ac:dyDescent="0.4"/>
    <row r="505" ht="15.75" customHeight="1" x14ac:dyDescent="0.4"/>
    <row r="506" ht="15.75" customHeight="1" x14ac:dyDescent="0.4"/>
    <row r="507" ht="15.75" customHeight="1" x14ac:dyDescent="0.4"/>
    <row r="508" ht="15.75" customHeight="1" x14ac:dyDescent="0.4"/>
    <row r="509" ht="15.75" customHeight="1" x14ac:dyDescent="0.4"/>
    <row r="510" ht="15.75" customHeight="1" x14ac:dyDescent="0.4"/>
    <row r="511" ht="15.75" customHeight="1" x14ac:dyDescent="0.4"/>
    <row r="512" ht="15.75" customHeight="1" x14ac:dyDescent="0.4"/>
    <row r="513" ht="15.75" customHeight="1" x14ac:dyDescent="0.4"/>
    <row r="514" ht="15.75" customHeight="1" x14ac:dyDescent="0.4"/>
    <row r="515" ht="15.75" customHeight="1" x14ac:dyDescent="0.4"/>
    <row r="516" ht="15.75" customHeight="1" x14ac:dyDescent="0.4"/>
    <row r="517" ht="15.75" customHeight="1" x14ac:dyDescent="0.4"/>
    <row r="518" ht="15.75" customHeight="1" x14ac:dyDescent="0.4"/>
    <row r="519" ht="15.75" customHeight="1" x14ac:dyDescent="0.4"/>
    <row r="520" ht="15.75" customHeight="1" x14ac:dyDescent="0.4"/>
    <row r="521" ht="15.75" customHeight="1" x14ac:dyDescent="0.4"/>
    <row r="522" ht="15.75" customHeight="1" x14ac:dyDescent="0.4"/>
    <row r="523" ht="15.75" customHeight="1" x14ac:dyDescent="0.4"/>
    <row r="524" ht="15.75" customHeight="1" x14ac:dyDescent="0.4"/>
    <row r="525" ht="15.75" customHeight="1" x14ac:dyDescent="0.4"/>
    <row r="526" ht="15.75" customHeight="1" x14ac:dyDescent="0.4"/>
    <row r="527" ht="15.75" customHeight="1" x14ac:dyDescent="0.4"/>
    <row r="528" ht="15.75" customHeight="1" x14ac:dyDescent="0.4"/>
    <row r="529" ht="15.75" customHeight="1" x14ac:dyDescent="0.4"/>
    <row r="530" ht="15.75" customHeight="1" x14ac:dyDescent="0.4"/>
    <row r="531" ht="15.75" customHeight="1" x14ac:dyDescent="0.4"/>
    <row r="532" ht="15.75" customHeight="1" x14ac:dyDescent="0.4"/>
    <row r="533" ht="15.75" customHeight="1" x14ac:dyDescent="0.4"/>
    <row r="534" ht="15.75" customHeight="1" x14ac:dyDescent="0.4"/>
    <row r="535" ht="15.75" customHeight="1" x14ac:dyDescent="0.4"/>
    <row r="536" ht="15.75" customHeight="1" x14ac:dyDescent="0.4"/>
    <row r="537" ht="15.75" customHeight="1" x14ac:dyDescent="0.4"/>
    <row r="538" ht="15.75" customHeight="1" x14ac:dyDescent="0.4"/>
    <row r="539" ht="15.75" customHeight="1" x14ac:dyDescent="0.4"/>
    <row r="540" ht="15.75" customHeight="1" x14ac:dyDescent="0.4"/>
    <row r="541" ht="15.75" customHeight="1" x14ac:dyDescent="0.4"/>
    <row r="542" ht="15.75" customHeight="1" x14ac:dyDescent="0.4"/>
    <row r="543" ht="15.75" customHeight="1" x14ac:dyDescent="0.4"/>
    <row r="544" ht="15.75" customHeight="1" x14ac:dyDescent="0.4"/>
    <row r="545" ht="15.75" customHeight="1" x14ac:dyDescent="0.4"/>
    <row r="546" ht="15.75" customHeight="1" x14ac:dyDescent="0.4"/>
    <row r="547" ht="15.75" customHeight="1" x14ac:dyDescent="0.4"/>
    <row r="548" ht="15.75" customHeight="1" x14ac:dyDescent="0.4"/>
    <row r="549" ht="15.75" customHeight="1" x14ac:dyDescent="0.4"/>
    <row r="550" ht="15.75" customHeight="1" x14ac:dyDescent="0.4"/>
    <row r="551" ht="15.75" customHeight="1" x14ac:dyDescent="0.4"/>
    <row r="552" ht="15.75" customHeight="1" x14ac:dyDescent="0.4"/>
    <row r="553" ht="15.75" customHeight="1" x14ac:dyDescent="0.4"/>
    <row r="554" ht="15.75" customHeight="1" x14ac:dyDescent="0.4"/>
    <row r="555" ht="15.75" customHeight="1" x14ac:dyDescent="0.4"/>
    <row r="556" ht="15.75" customHeight="1" x14ac:dyDescent="0.4"/>
    <row r="557" ht="15.75" customHeight="1" x14ac:dyDescent="0.4"/>
    <row r="558" ht="15.75" customHeight="1" x14ac:dyDescent="0.4"/>
    <row r="559" ht="15.75" customHeight="1" x14ac:dyDescent="0.4"/>
    <row r="560" ht="15.75" customHeight="1" x14ac:dyDescent="0.4"/>
    <row r="561" ht="15.75" customHeight="1" x14ac:dyDescent="0.4"/>
    <row r="562" ht="15.75" customHeight="1" x14ac:dyDescent="0.4"/>
    <row r="563" ht="15.75" customHeight="1" x14ac:dyDescent="0.4"/>
    <row r="564" ht="15.75" customHeight="1" x14ac:dyDescent="0.4"/>
    <row r="565" ht="15.75" customHeight="1" x14ac:dyDescent="0.4"/>
    <row r="566" ht="15.75" customHeight="1" x14ac:dyDescent="0.4"/>
    <row r="567" ht="15.75" customHeight="1" x14ac:dyDescent="0.4"/>
    <row r="568" ht="15.75" customHeight="1" x14ac:dyDescent="0.4"/>
    <row r="569" ht="15.75" customHeight="1" x14ac:dyDescent="0.4"/>
    <row r="570" ht="15.75" customHeight="1" x14ac:dyDescent="0.4"/>
    <row r="571" ht="15.75" customHeight="1" x14ac:dyDescent="0.4"/>
    <row r="572" ht="15.75" customHeight="1" x14ac:dyDescent="0.4"/>
    <row r="573" ht="15.75" customHeight="1" x14ac:dyDescent="0.4"/>
    <row r="574" ht="15.75" customHeight="1" x14ac:dyDescent="0.4"/>
    <row r="575" ht="15.75" customHeight="1" x14ac:dyDescent="0.4"/>
    <row r="576" ht="15.75" customHeight="1" x14ac:dyDescent="0.4"/>
    <row r="577" ht="15.75" customHeight="1" x14ac:dyDescent="0.4"/>
    <row r="578" ht="15.75" customHeight="1" x14ac:dyDescent="0.4"/>
    <row r="579" ht="15.75" customHeight="1" x14ac:dyDescent="0.4"/>
    <row r="580" ht="15.75" customHeight="1" x14ac:dyDescent="0.4"/>
    <row r="581" ht="15.75" customHeight="1" x14ac:dyDescent="0.4"/>
    <row r="582" ht="15.75" customHeight="1" x14ac:dyDescent="0.4"/>
    <row r="583" ht="15.75" customHeight="1" x14ac:dyDescent="0.4"/>
    <row r="584" ht="15.75" customHeight="1" x14ac:dyDescent="0.4"/>
    <row r="585" ht="15.75" customHeight="1" x14ac:dyDescent="0.4"/>
    <row r="586" ht="15.75" customHeight="1" x14ac:dyDescent="0.4"/>
    <row r="587" ht="15.75" customHeight="1" x14ac:dyDescent="0.4"/>
    <row r="588" ht="15.75" customHeight="1" x14ac:dyDescent="0.4"/>
    <row r="589" ht="15.75" customHeight="1" x14ac:dyDescent="0.4"/>
    <row r="590" ht="15.75" customHeight="1" x14ac:dyDescent="0.4"/>
    <row r="591" ht="15.75" customHeight="1" x14ac:dyDescent="0.4"/>
    <row r="592" ht="15.75" customHeight="1" x14ac:dyDescent="0.4"/>
    <row r="593" ht="15.75" customHeight="1" x14ac:dyDescent="0.4"/>
    <row r="594" ht="15.75" customHeight="1" x14ac:dyDescent="0.4"/>
    <row r="595" ht="15.75" customHeight="1" x14ac:dyDescent="0.4"/>
    <row r="596" ht="15.75" customHeight="1" x14ac:dyDescent="0.4"/>
    <row r="597" ht="15.75" customHeight="1" x14ac:dyDescent="0.4"/>
    <row r="598" ht="15.75" customHeight="1" x14ac:dyDescent="0.4"/>
    <row r="599" ht="15.75" customHeight="1" x14ac:dyDescent="0.4"/>
    <row r="600" ht="15.75" customHeight="1" x14ac:dyDescent="0.4"/>
    <row r="601" ht="15.75" customHeight="1" x14ac:dyDescent="0.4"/>
    <row r="602" ht="15.75" customHeight="1" x14ac:dyDescent="0.4"/>
    <row r="603" ht="15.75" customHeight="1" x14ac:dyDescent="0.4"/>
    <row r="604" ht="15.75" customHeight="1" x14ac:dyDescent="0.4"/>
    <row r="605" ht="15.75" customHeight="1" x14ac:dyDescent="0.4"/>
    <row r="606" ht="15.75" customHeight="1" x14ac:dyDescent="0.4"/>
    <row r="607" ht="15.75" customHeight="1" x14ac:dyDescent="0.4"/>
    <row r="608" ht="15.75" customHeight="1" x14ac:dyDescent="0.4"/>
    <row r="609" ht="15.75" customHeight="1" x14ac:dyDescent="0.4"/>
    <row r="610" ht="15.75" customHeight="1" x14ac:dyDescent="0.4"/>
    <row r="611" ht="15.75" customHeight="1" x14ac:dyDescent="0.4"/>
    <row r="612" ht="15.75" customHeight="1" x14ac:dyDescent="0.4"/>
    <row r="613" ht="15.75" customHeight="1" x14ac:dyDescent="0.4"/>
    <row r="614" ht="15.75" customHeight="1" x14ac:dyDescent="0.4"/>
    <row r="615" ht="15.75" customHeight="1" x14ac:dyDescent="0.4"/>
    <row r="616" ht="15.75" customHeight="1" x14ac:dyDescent="0.4"/>
    <row r="617" ht="15.75" customHeight="1" x14ac:dyDescent="0.4"/>
    <row r="618" ht="15.75" customHeight="1" x14ac:dyDescent="0.4"/>
    <row r="619" ht="15.75" customHeight="1" x14ac:dyDescent="0.4"/>
    <row r="620" ht="15.75" customHeight="1" x14ac:dyDescent="0.4"/>
    <row r="621" ht="15.75" customHeight="1" x14ac:dyDescent="0.4"/>
    <row r="622" ht="15.75" customHeight="1" x14ac:dyDescent="0.4"/>
    <row r="623" ht="15.75" customHeight="1" x14ac:dyDescent="0.4"/>
    <row r="624" ht="15.75" customHeight="1" x14ac:dyDescent="0.4"/>
    <row r="625" ht="15.75" customHeight="1" x14ac:dyDescent="0.4"/>
    <row r="626" ht="15.75" customHeight="1" x14ac:dyDescent="0.4"/>
    <row r="627" ht="15.75" customHeight="1" x14ac:dyDescent="0.4"/>
    <row r="628" ht="15.75" customHeight="1" x14ac:dyDescent="0.4"/>
    <row r="629" ht="15.75" customHeight="1" x14ac:dyDescent="0.4"/>
    <row r="630" ht="15.75" customHeight="1" x14ac:dyDescent="0.4"/>
    <row r="631" ht="15.75" customHeight="1" x14ac:dyDescent="0.4"/>
    <row r="632" ht="15.75" customHeight="1" x14ac:dyDescent="0.4"/>
    <row r="633" ht="15.75" customHeight="1" x14ac:dyDescent="0.4"/>
    <row r="634" ht="15.75" customHeight="1" x14ac:dyDescent="0.4"/>
    <row r="635" ht="15.75" customHeight="1" x14ac:dyDescent="0.4"/>
    <row r="636" ht="15.75" customHeight="1" x14ac:dyDescent="0.4"/>
    <row r="637" ht="15.75" customHeight="1" x14ac:dyDescent="0.4"/>
    <row r="638" ht="15.75" customHeight="1" x14ac:dyDescent="0.4"/>
    <row r="639" ht="15.75" customHeight="1" x14ac:dyDescent="0.4"/>
    <row r="640" ht="15.75" customHeight="1" x14ac:dyDescent="0.4"/>
    <row r="641" ht="15.75" customHeight="1" x14ac:dyDescent="0.4"/>
    <row r="642" ht="15.75" customHeight="1" x14ac:dyDescent="0.4"/>
    <row r="643" ht="15.75" customHeight="1" x14ac:dyDescent="0.4"/>
    <row r="644" ht="15.75" customHeight="1" x14ac:dyDescent="0.4"/>
    <row r="645" ht="15.75" customHeight="1" x14ac:dyDescent="0.4"/>
    <row r="646" ht="15.75" customHeight="1" x14ac:dyDescent="0.4"/>
    <row r="647" ht="15.75" customHeight="1" x14ac:dyDescent="0.4"/>
    <row r="648" ht="15.75" customHeight="1" x14ac:dyDescent="0.4"/>
    <row r="649" ht="15.75" customHeight="1" x14ac:dyDescent="0.4"/>
    <row r="650" ht="15.75" customHeight="1" x14ac:dyDescent="0.4"/>
    <row r="651" ht="15.75" customHeight="1" x14ac:dyDescent="0.4"/>
    <row r="652" ht="15.75" customHeight="1" x14ac:dyDescent="0.4"/>
    <row r="653" ht="15.75" customHeight="1" x14ac:dyDescent="0.4"/>
    <row r="654" ht="15.75" customHeight="1" x14ac:dyDescent="0.4"/>
    <row r="655" ht="15.75" customHeight="1" x14ac:dyDescent="0.4"/>
    <row r="656" ht="15.75" customHeight="1" x14ac:dyDescent="0.4"/>
    <row r="657" ht="15.75" customHeight="1" x14ac:dyDescent="0.4"/>
    <row r="658" ht="15.75" customHeight="1" x14ac:dyDescent="0.4"/>
    <row r="659" ht="15.75" customHeight="1" x14ac:dyDescent="0.4"/>
    <row r="660" ht="15.75" customHeight="1" x14ac:dyDescent="0.4"/>
    <row r="661" ht="15.75" customHeight="1" x14ac:dyDescent="0.4"/>
    <row r="662" ht="15.75" customHeight="1" x14ac:dyDescent="0.4"/>
    <row r="663" ht="15.75" customHeight="1" x14ac:dyDescent="0.4"/>
    <row r="664" ht="15.75" customHeight="1" x14ac:dyDescent="0.4"/>
    <row r="665" ht="15.75" customHeight="1" x14ac:dyDescent="0.4"/>
    <row r="666" ht="15.75" customHeight="1" x14ac:dyDescent="0.4"/>
    <row r="667" ht="15.75" customHeight="1" x14ac:dyDescent="0.4"/>
    <row r="668" ht="15.75" customHeight="1" x14ac:dyDescent="0.4"/>
    <row r="669" ht="15.75" customHeight="1" x14ac:dyDescent="0.4"/>
    <row r="670" ht="15.75" customHeight="1" x14ac:dyDescent="0.4"/>
    <row r="671" ht="15.75" customHeight="1" x14ac:dyDescent="0.4"/>
    <row r="672" ht="15.75" customHeight="1" x14ac:dyDescent="0.4"/>
    <row r="673" ht="15.75" customHeight="1" x14ac:dyDescent="0.4"/>
    <row r="674" ht="15.75" customHeight="1" x14ac:dyDescent="0.4"/>
    <row r="675" ht="15.75" customHeight="1" x14ac:dyDescent="0.4"/>
    <row r="676" ht="15.75" customHeight="1" x14ac:dyDescent="0.4"/>
    <row r="677" ht="15.75" customHeight="1" x14ac:dyDescent="0.4"/>
    <row r="678" ht="15.75" customHeight="1" x14ac:dyDescent="0.4"/>
    <row r="679" ht="15.75" customHeight="1" x14ac:dyDescent="0.4"/>
    <row r="680" ht="15.75" customHeight="1" x14ac:dyDescent="0.4"/>
    <row r="681" ht="15.75" customHeight="1" x14ac:dyDescent="0.4"/>
    <row r="682" ht="15.75" customHeight="1" x14ac:dyDescent="0.4"/>
    <row r="683" ht="15.75" customHeight="1" x14ac:dyDescent="0.4"/>
    <row r="684" ht="15.75" customHeight="1" x14ac:dyDescent="0.4"/>
    <row r="685" ht="15.75" customHeight="1" x14ac:dyDescent="0.4"/>
    <row r="686" ht="15.75" customHeight="1" x14ac:dyDescent="0.4"/>
    <row r="687" ht="15.75" customHeight="1" x14ac:dyDescent="0.4"/>
    <row r="688" ht="15.75" customHeight="1" x14ac:dyDescent="0.4"/>
    <row r="689" ht="15.75" customHeight="1" x14ac:dyDescent="0.4"/>
    <row r="690" ht="15.75" customHeight="1" x14ac:dyDescent="0.4"/>
    <row r="691" ht="15.75" customHeight="1" x14ac:dyDescent="0.4"/>
    <row r="692" ht="15.75" customHeight="1" x14ac:dyDescent="0.4"/>
    <row r="693" ht="15.75" customHeight="1" x14ac:dyDescent="0.4"/>
    <row r="694" ht="15.75" customHeight="1" x14ac:dyDescent="0.4"/>
    <row r="695" ht="15.75" customHeight="1" x14ac:dyDescent="0.4"/>
    <row r="696" ht="15.75" customHeight="1" x14ac:dyDescent="0.4"/>
    <row r="697" ht="15.75" customHeight="1" x14ac:dyDescent="0.4"/>
    <row r="698" ht="15.75" customHeight="1" x14ac:dyDescent="0.4"/>
    <row r="699" ht="15.75" customHeight="1" x14ac:dyDescent="0.4"/>
    <row r="700" ht="15.75" customHeight="1" x14ac:dyDescent="0.4"/>
    <row r="701" ht="15.75" customHeight="1" x14ac:dyDescent="0.4"/>
    <row r="702" ht="15.75" customHeight="1" x14ac:dyDescent="0.4"/>
    <row r="703" ht="15.75" customHeight="1" x14ac:dyDescent="0.4"/>
    <row r="704" ht="15.75" customHeight="1" x14ac:dyDescent="0.4"/>
    <row r="705" ht="15.75" customHeight="1" x14ac:dyDescent="0.4"/>
    <row r="706" ht="15.75" customHeight="1" x14ac:dyDescent="0.4"/>
    <row r="707" ht="15.75" customHeight="1" x14ac:dyDescent="0.4"/>
    <row r="708" ht="15.75" customHeight="1" x14ac:dyDescent="0.4"/>
    <row r="709" ht="15.75" customHeight="1" x14ac:dyDescent="0.4"/>
    <row r="710" ht="15.75" customHeight="1" x14ac:dyDescent="0.4"/>
    <row r="711" ht="15.75" customHeight="1" x14ac:dyDescent="0.4"/>
    <row r="712" ht="15.75" customHeight="1" x14ac:dyDescent="0.4"/>
    <row r="713" ht="15.75" customHeight="1" x14ac:dyDescent="0.4"/>
    <row r="714" ht="15.75" customHeight="1" x14ac:dyDescent="0.4"/>
    <row r="715" ht="15.75" customHeight="1" x14ac:dyDescent="0.4"/>
    <row r="716" ht="15.75" customHeight="1" x14ac:dyDescent="0.4"/>
    <row r="717" ht="15.75" customHeight="1" x14ac:dyDescent="0.4"/>
    <row r="718" ht="15.75" customHeight="1" x14ac:dyDescent="0.4"/>
    <row r="719" ht="15.75" customHeight="1" x14ac:dyDescent="0.4"/>
    <row r="720" ht="15.75" customHeight="1" x14ac:dyDescent="0.4"/>
    <row r="721" ht="15.75" customHeight="1" x14ac:dyDescent="0.4"/>
    <row r="722" ht="15.75" customHeight="1" x14ac:dyDescent="0.4"/>
    <row r="723" ht="15.75" customHeight="1" x14ac:dyDescent="0.4"/>
    <row r="724" ht="15.75" customHeight="1" x14ac:dyDescent="0.4"/>
    <row r="725" ht="15.75" customHeight="1" x14ac:dyDescent="0.4"/>
    <row r="726" ht="15.75" customHeight="1" x14ac:dyDescent="0.4"/>
    <row r="727" ht="15.75" customHeight="1" x14ac:dyDescent="0.4"/>
    <row r="728" ht="15.75" customHeight="1" x14ac:dyDescent="0.4"/>
    <row r="729" ht="15.75" customHeight="1" x14ac:dyDescent="0.4"/>
    <row r="730" ht="15.75" customHeight="1" x14ac:dyDescent="0.4"/>
    <row r="731" ht="15.75" customHeight="1" x14ac:dyDescent="0.4"/>
    <row r="732" ht="15.75" customHeight="1" x14ac:dyDescent="0.4"/>
    <row r="733" ht="15.75" customHeight="1" x14ac:dyDescent="0.4"/>
    <row r="734" ht="15.75" customHeight="1" x14ac:dyDescent="0.4"/>
    <row r="735" ht="15.75" customHeight="1" x14ac:dyDescent="0.4"/>
    <row r="736" ht="15.75" customHeight="1" x14ac:dyDescent="0.4"/>
    <row r="737" ht="15.75" customHeight="1" x14ac:dyDescent="0.4"/>
    <row r="738" ht="15.75" customHeight="1" x14ac:dyDescent="0.4"/>
    <row r="739" ht="15.75" customHeight="1" x14ac:dyDescent="0.4"/>
    <row r="740" ht="15.75" customHeight="1" x14ac:dyDescent="0.4"/>
    <row r="741" ht="15.75" customHeight="1" x14ac:dyDescent="0.4"/>
    <row r="742" ht="15.75" customHeight="1" x14ac:dyDescent="0.4"/>
    <row r="743" ht="15.75" customHeight="1" x14ac:dyDescent="0.4"/>
    <row r="744" ht="15.75" customHeight="1" x14ac:dyDescent="0.4"/>
    <row r="745" ht="15.75" customHeight="1" x14ac:dyDescent="0.4"/>
    <row r="746" ht="15.75" customHeight="1" x14ac:dyDescent="0.4"/>
    <row r="747" ht="15.75" customHeight="1" x14ac:dyDescent="0.4"/>
    <row r="748" ht="15.75" customHeight="1" x14ac:dyDescent="0.4"/>
    <row r="749" ht="15.75" customHeight="1" x14ac:dyDescent="0.4"/>
    <row r="750" ht="15.75" customHeight="1" x14ac:dyDescent="0.4"/>
    <row r="751" ht="15.75" customHeight="1" x14ac:dyDescent="0.4"/>
    <row r="752" ht="15.75" customHeight="1" x14ac:dyDescent="0.4"/>
    <row r="753" ht="15.75" customHeight="1" x14ac:dyDescent="0.4"/>
    <row r="754" ht="15.75" customHeight="1" x14ac:dyDescent="0.4"/>
    <row r="755" ht="15.75" customHeight="1" x14ac:dyDescent="0.4"/>
    <row r="756" ht="15.75" customHeight="1" x14ac:dyDescent="0.4"/>
    <row r="757" ht="15.75" customHeight="1" x14ac:dyDescent="0.4"/>
    <row r="758" ht="15.75" customHeight="1" x14ac:dyDescent="0.4"/>
    <row r="759" ht="15.75" customHeight="1" x14ac:dyDescent="0.4"/>
    <row r="760" ht="15.75" customHeight="1" x14ac:dyDescent="0.4"/>
    <row r="761" ht="15.75" customHeight="1" x14ac:dyDescent="0.4"/>
    <row r="762" ht="15.75" customHeight="1" x14ac:dyDescent="0.4"/>
    <row r="763" ht="15.75" customHeight="1" x14ac:dyDescent="0.4"/>
    <row r="764" ht="15.75" customHeight="1" x14ac:dyDescent="0.4"/>
    <row r="765" ht="15.75" customHeight="1" x14ac:dyDescent="0.4"/>
    <row r="766" ht="15.75" customHeight="1" x14ac:dyDescent="0.4"/>
    <row r="767" ht="15.75" customHeight="1" x14ac:dyDescent="0.4"/>
    <row r="768" ht="15.75" customHeight="1" x14ac:dyDescent="0.4"/>
    <row r="769" ht="15.75" customHeight="1" x14ac:dyDescent="0.4"/>
    <row r="770" ht="15.75" customHeight="1" x14ac:dyDescent="0.4"/>
    <row r="771" ht="15.75" customHeight="1" x14ac:dyDescent="0.4"/>
    <row r="772" ht="15.75" customHeight="1" x14ac:dyDescent="0.4"/>
    <row r="773" ht="15.75" customHeight="1" x14ac:dyDescent="0.4"/>
    <row r="774" ht="15.75" customHeight="1" x14ac:dyDescent="0.4"/>
    <row r="775" ht="15.75" customHeight="1" x14ac:dyDescent="0.4"/>
    <row r="776" ht="15.75" customHeight="1" x14ac:dyDescent="0.4"/>
    <row r="777" ht="15.75" customHeight="1" x14ac:dyDescent="0.4"/>
    <row r="778" ht="15.75" customHeight="1" x14ac:dyDescent="0.4"/>
    <row r="779" ht="15.75" customHeight="1" x14ac:dyDescent="0.4"/>
    <row r="780" ht="15.75" customHeight="1" x14ac:dyDescent="0.4"/>
    <row r="781" ht="15.75" customHeight="1" x14ac:dyDescent="0.4"/>
    <row r="782" ht="15.75" customHeight="1" x14ac:dyDescent="0.4"/>
    <row r="783" ht="15.75" customHeight="1" x14ac:dyDescent="0.4"/>
    <row r="784" ht="15.75" customHeight="1" x14ac:dyDescent="0.4"/>
    <row r="785" ht="15.75" customHeight="1" x14ac:dyDescent="0.4"/>
    <row r="786" ht="15.75" customHeight="1" x14ac:dyDescent="0.4"/>
    <row r="787" ht="15.75" customHeight="1" x14ac:dyDescent="0.4"/>
    <row r="788" ht="15.75" customHeight="1" x14ac:dyDescent="0.4"/>
    <row r="789" ht="15.75" customHeight="1" x14ac:dyDescent="0.4"/>
    <row r="790" ht="15.75" customHeight="1" x14ac:dyDescent="0.4"/>
    <row r="791" ht="15.75" customHeight="1" x14ac:dyDescent="0.4"/>
    <row r="792" ht="15.75" customHeight="1" x14ac:dyDescent="0.4"/>
    <row r="793" ht="15.75" customHeight="1" x14ac:dyDescent="0.4"/>
    <row r="794" ht="15.75" customHeight="1" x14ac:dyDescent="0.4"/>
    <row r="795" ht="15.75" customHeight="1" x14ac:dyDescent="0.4"/>
    <row r="796" ht="15.75" customHeight="1" x14ac:dyDescent="0.4"/>
    <row r="797" ht="15.75" customHeight="1" x14ac:dyDescent="0.4"/>
    <row r="798" ht="15.75" customHeight="1" x14ac:dyDescent="0.4"/>
    <row r="799" ht="15.75" customHeight="1" x14ac:dyDescent="0.4"/>
    <row r="800" ht="15.75" customHeight="1" x14ac:dyDescent="0.4"/>
    <row r="801" ht="15.75" customHeight="1" x14ac:dyDescent="0.4"/>
    <row r="802" ht="15.75" customHeight="1" x14ac:dyDescent="0.4"/>
    <row r="803" ht="15.75" customHeight="1" x14ac:dyDescent="0.4"/>
    <row r="804" ht="15.75" customHeight="1" x14ac:dyDescent="0.4"/>
    <row r="805" ht="15.75" customHeight="1" x14ac:dyDescent="0.4"/>
    <row r="806" ht="15.75" customHeight="1" x14ac:dyDescent="0.4"/>
    <row r="807" ht="15.75" customHeight="1" x14ac:dyDescent="0.4"/>
    <row r="808" ht="15.75" customHeight="1" x14ac:dyDescent="0.4"/>
    <row r="809" ht="15.75" customHeight="1" x14ac:dyDescent="0.4"/>
    <row r="810" ht="15.75" customHeight="1" x14ac:dyDescent="0.4"/>
    <row r="811" ht="15.75" customHeight="1" x14ac:dyDescent="0.4"/>
    <row r="812" ht="15.75" customHeight="1" x14ac:dyDescent="0.4"/>
    <row r="813" ht="15.75" customHeight="1" x14ac:dyDescent="0.4"/>
    <row r="814" ht="15.75" customHeight="1" x14ac:dyDescent="0.4"/>
    <row r="815" ht="15.75" customHeight="1" x14ac:dyDescent="0.4"/>
    <row r="816" ht="15.75" customHeight="1" x14ac:dyDescent="0.4"/>
    <row r="817" ht="15.75" customHeight="1" x14ac:dyDescent="0.4"/>
    <row r="818" ht="15.75" customHeight="1" x14ac:dyDescent="0.4"/>
    <row r="819" ht="15.75" customHeight="1" x14ac:dyDescent="0.4"/>
    <row r="820" ht="15.75" customHeight="1" x14ac:dyDescent="0.4"/>
    <row r="821" ht="15.75" customHeight="1" x14ac:dyDescent="0.4"/>
    <row r="822" ht="15.75" customHeight="1" x14ac:dyDescent="0.4"/>
    <row r="823" ht="15.75" customHeight="1" x14ac:dyDescent="0.4"/>
    <row r="824" ht="15.75" customHeight="1" x14ac:dyDescent="0.4"/>
    <row r="825" ht="15.75" customHeight="1" x14ac:dyDescent="0.4"/>
    <row r="826" ht="15.75" customHeight="1" x14ac:dyDescent="0.4"/>
    <row r="827" ht="15.75" customHeight="1" x14ac:dyDescent="0.4"/>
    <row r="828" ht="15.75" customHeight="1" x14ac:dyDescent="0.4"/>
    <row r="829" ht="15.75" customHeight="1" x14ac:dyDescent="0.4"/>
    <row r="830" ht="15.75" customHeight="1" x14ac:dyDescent="0.4"/>
    <row r="831" ht="15.75" customHeight="1" x14ac:dyDescent="0.4"/>
    <row r="832" ht="15.75" customHeight="1" x14ac:dyDescent="0.4"/>
    <row r="833" ht="15.75" customHeight="1" x14ac:dyDescent="0.4"/>
    <row r="834" ht="15.75" customHeight="1" x14ac:dyDescent="0.4"/>
    <row r="835" ht="15.75" customHeight="1" x14ac:dyDescent="0.4"/>
    <row r="836" ht="15.75" customHeight="1" x14ac:dyDescent="0.4"/>
    <row r="837" ht="15.75" customHeight="1" x14ac:dyDescent="0.4"/>
    <row r="838" ht="15.75" customHeight="1" x14ac:dyDescent="0.4"/>
    <row r="839" ht="15.75" customHeight="1" x14ac:dyDescent="0.4"/>
    <row r="840" ht="15.75" customHeight="1" x14ac:dyDescent="0.4"/>
    <row r="841" ht="15.75" customHeight="1" x14ac:dyDescent="0.4"/>
    <row r="842" ht="15.75" customHeight="1" x14ac:dyDescent="0.4"/>
    <row r="843" ht="15.75" customHeight="1" x14ac:dyDescent="0.4"/>
    <row r="844" ht="15.75" customHeight="1" x14ac:dyDescent="0.4"/>
    <row r="845" ht="15.75" customHeight="1" x14ac:dyDescent="0.4"/>
    <row r="846" ht="15.75" customHeight="1" x14ac:dyDescent="0.4"/>
    <row r="847" ht="15.75" customHeight="1" x14ac:dyDescent="0.4"/>
    <row r="848" ht="15.75" customHeight="1" x14ac:dyDescent="0.4"/>
    <row r="849" ht="15.75" customHeight="1" x14ac:dyDescent="0.4"/>
    <row r="850" ht="15.75" customHeight="1" x14ac:dyDescent="0.4"/>
    <row r="851" ht="15.75" customHeight="1" x14ac:dyDescent="0.4"/>
    <row r="852" ht="15.75" customHeight="1" x14ac:dyDescent="0.4"/>
    <row r="853" ht="15.75" customHeight="1" x14ac:dyDescent="0.4"/>
    <row r="854" ht="15.75" customHeight="1" x14ac:dyDescent="0.4"/>
    <row r="855" ht="15.75" customHeight="1" x14ac:dyDescent="0.4"/>
    <row r="856" ht="15.75" customHeight="1" x14ac:dyDescent="0.4"/>
    <row r="857" ht="15.75" customHeight="1" x14ac:dyDescent="0.4"/>
    <row r="858" ht="15.75" customHeight="1" x14ac:dyDescent="0.4"/>
    <row r="859" ht="15.75" customHeight="1" x14ac:dyDescent="0.4"/>
    <row r="860" ht="15.75" customHeight="1" x14ac:dyDescent="0.4"/>
    <row r="861" ht="15.75" customHeight="1" x14ac:dyDescent="0.4"/>
    <row r="862" ht="15.75" customHeight="1" x14ac:dyDescent="0.4"/>
    <row r="863" ht="15.75" customHeight="1" x14ac:dyDescent="0.4"/>
    <row r="864" ht="15.75" customHeight="1" x14ac:dyDescent="0.4"/>
    <row r="865" ht="15.75" customHeight="1" x14ac:dyDescent="0.4"/>
    <row r="866" ht="15.75" customHeight="1" x14ac:dyDescent="0.4"/>
    <row r="867" ht="15.75" customHeight="1" x14ac:dyDescent="0.4"/>
    <row r="868" ht="15.75" customHeight="1" x14ac:dyDescent="0.4"/>
    <row r="869" ht="15.75" customHeight="1" x14ac:dyDescent="0.4"/>
    <row r="870" ht="15.75" customHeight="1" x14ac:dyDescent="0.4"/>
    <row r="871" ht="15.75" customHeight="1" x14ac:dyDescent="0.4"/>
    <row r="872" ht="15.75" customHeight="1" x14ac:dyDescent="0.4"/>
    <row r="873" ht="15.75" customHeight="1" x14ac:dyDescent="0.4"/>
    <row r="874" ht="15.75" customHeight="1" x14ac:dyDescent="0.4"/>
    <row r="875" ht="15.75" customHeight="1" x14ac:dyDescent="0.4"/>
    <row r="876" ht="15.75" customHeight="1" x14ac:dyDescent="0.4"/>
    <row r="877" ht="15.75" customHeight="1" x14ac:dyDescent="0.4"/>
    <row r="878" ht="15.75" customHeight="1" x14ac:dyDescent="0.4"/>
    <row r="879" ht="15.75" customHeight="1" x14ac:dyDescent="0.4"/>
    <row r="880" ht="15.75" customHeight="1" x14ac:dyDescent="0.4"/>
    <row r="881" ht="15.75" customHeight="1" x14ac:dyDescent="0.4"/>
    <row r="882" ht="15.75" customHeight="1" x14ac:dyDescent="0.4"/>
    <row r="883" ht="15.75" customHeight="1" x14ac:dyDescent="0.4"/>
    <row r="884" ht="15.75" customHeight="1" x14ac:dyDescent="0.4"/>
    <row r="885" ht="15.75" customHeight="1" x14ac:dyDescent="0.4"/>
    <row r="886" ht="15.75" customHeight="1" x14ac:dyDescent="0.4"/>
    <row r="887" ht="15.75" customHeight="1" x14ac:dyDescent="0.4"/>
    <row r="888" ht="15.75" customHeight="1" x14ac:dyDescent="0.4"/>
    <row r="889" ht="15.75" customHeight="1" x14ac:dyDescent="0.4"/>
    <row r="890" ht="15.75" customHeight="1" x14ac:dyDescent="0.4"/>
    <row r="891" ht="15.75" customHeight="1" x14ac:dyDescent="0.4"/>
    <row r="892" ht="15.75" customHeight="1" x14ac:dyDescent="0.4"/>
    <row r="893" ht="15.75" customHeight="1" x14ac:dyDescent="0.4"/>
    <row r="894" ht="15.75" customHeight="1" x14ac:dyDescent="0.4"/>
    <row r="895" ht="15.75" customHeight="1" x14ac:dyDescent="0.4"/>
    <row r="896" ht="15.75" customHeight="1" x14ac:dyDescent="0.4"/>
    <row r="897" ht="15.75" customHeight="1" x14ac:dyDescent="0.4"/>
    <row r="898" ht="15.75" customHeight="1" x14ac:dyDescent="0.4"/>
    <row r="899" ht="15.75" customHeight="1" x14ac:dyDescent="0.4"/>
    <row r="900" ht="15.75" customHeight="1" x14ac:dyDescent="0.4"/>
    <row r="901" ht="15.75" customHeight="1" x14ac:dyDescent="0.4"/>
    <row r="902" ht="15.75" customHeight="1" x14ac:dyDescent="0.4"/>
    <row r="903" ht="15.75" customHeight="1" x14ac:dyDescent="0.4"/>
    <row r="904" ht="15.75" customHeight="1" x14ac:dyDescent="0.4"/>
    <row r="905" ht="15.75" customHeight="1" x14ac:dyDescent="0.4"/>
    <row r="906" ht="15.75" customHeight="1" x14ac:dyDescent="0.4"/>
    <row r="907" ht="15.75" customHeight="1" x14ac:dyDescent="0.4"/>
    <row r="908" ht="15.75" customHeight="1" x14ac:dyDescent="0.4"/>
    <row r="909" ht="15.75" customHeight="1" x14ac:dyDescent="0.4"/>
    <row r="910" ht="15.75" customHeight="1" x14ac:dyDescent="0.4"/>
    <row r="911" ht="15.75" customHeight="1" x14ac:dyDescent="0.4"/>
    <row r="912" ht="15.75" customHeight="1" x14ac:dyDescent="0.4"/>
    <row r="913" ht="15.75" customHeight="1" x14ac:dyDescent="0.4"/>
    <row r="914" ht="15.75" customHeight="1" x14ac:dyDescent="0.4"/>
    <row r="915" ht="15.75" customHeight="1" x14ac:dyDescent="0.4"/>
    <row r="916" ht="15.75" customHeight="1" x14ac:dyDescent="0.4"/>
    <row r="917" ht="15.75" customHeight="1" x14ac:dyDescent="0.4"/>
    <row r="918" ht="15.75" customHeight="1" x14ac:dyDescent="0.4"/>
    <row r="919" ht="15.75" customHeight="1" x14ac:dyDescent="0.4"/>
    <row r="920" ht="15.75" customHeight="1" x14ac:dyDescent="0.4"/>
    <row r="921" ht="15.75" customHeight="1" x14ac:dyDescent="0.4"/>
    <row r="922" ht="15.75" customHeight="1" x14ac:dyDescent="0.4"/>
    <row r="923" ht="15.75" customHeight="1" x14ac:dyDescent="0.4"/>
    <row r="924" ht="15.75" customHeight="1" x14ac:dyDescent="0.4"/>
    <row r="925" ht="15.75" customHeight="1" x14ac:dyDescent="0.4"/>
    <row r="926" ht="15.75" customHeight="1" x14ac:dyDescent="0.4"/>
    <row r="927" ht="15.75" customHeight="1" x14ac:dyDescent="0.4"/>
    <row r="928" ht="15.75" customHeight="1" x14ac:dyDescent="0.4"/>
    <row r="929" ht="15.75" customHeight="1" x14ac:dyDescent="0.4"/>
    <row r="930" ht="15.75" customHeight="1" x14ac:dyDescent="0.4"/>
    <row r="931" ht="15.75" customHeight="1" x14ac:dyDescent="0.4"/>
    <row r="932" ht="15.75" customHeight="1" x14ac:dyDescent="0.4"/>
    <row r="933" ht="15.75" customHeight="1" x14ac:dyDescent="0.4"/>
    <row r="934" ht="15.75" customHeight="1" x14ac:dyDescent="0.4"/>
    <row r="935" ht="15.75" customHeight="1" x14ac:dyDescent="0.4"/>
    <row r="936" ht="15.75" customHeight="1" x14ac:dyDescent="0.4"/>
    <row r="937" ht="15.75" customHeight="1" x14ac:dyDescent="0.4"/>
    <row r="938" ht="15.75" customHeight="1" x14ac:dyDescent="0.4"/>
    <row r="939" ht="15.75" customHeight="1" x14ac:dyDescent="0.4"/>
    <row r="940" ht="15.75" customHeight="1" x14ac:dyDescent="0.4"/>
    <row r="941" ht="15.75" customHeight="1" x14ac:dyDescent="0.4"/>
    <row r="942" ht="15.75" customHeight="1" x14ac:dyDescent="0.4"/>
    <row r="943" ht="15.75" customHeight="1" x14ac:dyDescent="0.4"/>
    <row r="944" ht="15.75" customHeight="1" x14ac:dyDescent="0.4"/>
    <row r="945" ht="15.75" customHeight="1" x14ac:dyDescent="0.4"/>
    <row r="946" ht="15.75" customHeight="1" x14ac:dyDescent="0.4"/>
    <row r="947" ht="15.75" customHeight="1" x14ac:dyDescent="0.4"/>
    <row r="948" ht="15.75" customHeight="1" x14ac:dyDescent="0.4"/>
    <row r="949" ht="15.75" customHeight="1" x14ac:dyDescent="0.4"/>
    <row r="950" ht="15.75" customHeight="1" x14ac:dyDescent="0.4"/>
    <row r="951" ht="15.75" customHeight="1" x14ac:dyDescent="0.4"/>
    <row r="952" ht="15.75" customHeight="1" x14ac:dyDescent="0.4"/>
    <row r="953" ht="15.75" customHeight="1" x14ac:dyDescent="0.4"/>
    <row r="954" ht="15.75" customHeight="1" x14ac:dyDescent="0.4"/>
    <row r="955" ht="15.75" customHeight="1" x14ac:dyDescent="0.4"/>
    <row r="956" ht="15.75" customHeight="1" x14ac:dyDescent="0.4"/>
    <row r="957" ht="15.75" customHeight="1" x14ac:dyDescent="0.4"/>
    <row r="958" ht="15.75" customHeight="1" x14ac:dyDescent="0.4"/>
    <row r="959" ht="15.75" customHeight="1" x14ac:dyDescent="0.4"/>
    <row r="960" ht="15.75" customHeight="1" x14ac:dyDescent="0.4"/>
    <row r="961" ht="15.75" customHeight="1" x14ac:dyDescent="0.4"/>
    <row r="962" ht="15.75" customHeight="1" x14ac:dyDescent="0.4"/>
    <row r="963" ht="15.75" customHeight="1" x14ac:dyDescent="0.4"/>
    <row r="964" ht="15.75" customHeight="1" x14ac:dyDescent="0.4"/>
    <row r="965" ht="15.75" customHeight="1" x14ac:dyDescent="0.4"/>
    <row r="966" ht="15.75" customHeight="1" x14ac:dyDescent="0.4"/>
    <row r="967" ht="15.75" customHeight="1" x14ac:dyDescent="0.4"/>
    <row r="968" ht="15.75" customHeight="1" x14ac:dyDescent="0.4"/>
    <row r="969" ht="15.75" customHeight="1" x14ac:dyDescent="0.4"/>
    <row r="970" ht="15.75" customHeight="1" x14ac:dyDescent="0.4"/>
    <row r="971" ht="15.75" customHeight="1" x14ac:dyDescent="0.4"/>
    <row r="972" ht="15.75" customHeight="1" x14ac:dyDescent="0.4"/>
    <row r="973" ht="15.75" customHeight="1" x14ac:dyDescent="0.4"/>
    <row r="974" ht="15.75" customHeight="1" x14ac:dyDescent="0.4"/>
    <row r="975" ht="15.75" customHeight="1" x14ac:dyDescent="0.4"/>
    <row r="976" ht="15.75" customHeight="1" x14ac:dyDescent="0.4"/>
    <row r="977" ht="15.75" customHeight="1" x14ac:dyDescent="0.4"/>
    <row r="978" ht="15.75" customHeight="1" x14ac:dyDescent="0.4"/>
    <row r="979" ht="15.75" customHeight="1" x14ac:dyDescent="0.4"/>
    <row r="980" ht="15.75" customHeight="1" x14ac:dyDescent="0.4"/>
    <row r="981" ht="15.75" customHeight="1" x14ac:dyDescent="0.4"/>
    <row r="982" ht="15.75" customHeight="1" x14ac:dyDescent="0.4"/>
    <row r="983" ht="15.75" customHeight="1" x14ac:dyDescent="0.4"/>
    <row r="984" ht="15.75" customHeight="1" x14ac:dyDescent="0.4"/>
    <row r="985" ht="15.75" customHeight="1" x14ac:dyDescent="0.4"/>
    <row r="986" ht="15.75" customHeight="1" x14ac:dyDescent="0.4"/>
    <row r="987" ht="15.75" customHeight="1" x14ac:dyDescent="0.4"/>
  </sheetData>
  <mergeCells count="16">
    <mergeCell ref="T6:T8"/>
    <mergeCell ref="N7:N8"/>
    <mergeCell ref="M7:M8"/>
    <mergeCell ref="A6:A8"/>
    <mergeCell ref="B5:U5"/>
    <mergeCell ref="H6:H8"/>
    <mergeCell ref="I6:I8"/>
    <mergeCell ref="J6:J8"/>
    <mergeCell ref="K6:K8"/>
    <mergeCell ref="L6:L8"/>
    <mergeCell ref="U6:U8"/>
    <mergeCell ref="O7:O8"/>
    <mergeCell ref="P6:P8"/>
    <mergeCell ref="Q6:Q8"/>
    <mergeCell ref="R6:R8"/>
    <mergeCell ref="S6:S8"/>
  </mergeCells>
  <phoneticPr fontId="7" type="noConversion"/>
  <pageMargins left="0.7" right="0.7" top="0.75" bottom="0.75" header="0" footer="0"/>
  <pageSetup paperSize="3" scale="39" fitToHeight="0" orientation="landscape" r:id="rId1"/>
  <headerFooter>
    <oddHeader>&amp;C&amp;"-,Bold"&amp;20School Improvment Analysis&amp;R&amp;"-,Bold"&amp;16BSC Planning Document</oddHeader>
    <oddFooter>&amp;L&amp;"-,Bold"&amp;16Working Document&amp;C&amp;"-,Bold"&amp;16&amp;P&amp;R&amp;"-,Bold"&amp;16&amp;D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BA70189-406F-49EC-9986-78BF6583C10D}">
          <x14:formula1>
            <xm:f>Assumptions!$I$2:$I$3</xm:f>
          </x14:formula1>
          <xm:sqref>R9:R123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188E6-3906-43D3-A1AD-C3B217D653A7}">
  <sheetPr>
    <tabColor rgb="FF99FF99"/>
  </sheetPr>
  <dimension ref="A1:AO234"/>
  <sheetViews>
    <sheetView tabSelected="1" zoomScale="55" zoomScaleNormal="55" workbookViewId="0">
      <pane xSplit="2" ySplit="4" topLeftCell="AF125" activePane="bottomRight" state="frozen"/>
      <selection pane="topRight" activeCell="C1" sqref="C1"/>
      <selection pane="bottomLeft" activeCell="A5" sqref="A5"/>
      <selection pane="bottomRight" activeCell="AO129" sqref="AO129"/>
    </sheetView>
  </sheetViews>
  <sheetFormatPr defaultRowHeight="26.25" x14ac:dyDescent="0.4"/>
  <cols>
    <col min="1" max="1" width="53.140625" style="134" bestFit="1" customWidth="1"/>
    <col min="2" max="2" width="34.28515625" style="134" customWidth="1"/>
    <col min="3" max="15" width="30.42578125" style="134" customWidth="1"/>
    <col min="16" max="16" width="34" style="134" customWidth="1"/>
    <col min="17" max="35" width="30.42578125" style="134" customWidth="1"/>
    <col min="36" max="36" width="31.7109375" style="134" customWidth="1"/>
    <col min="37" max="37" width="30.42578125" style="134" customWidth="1"/>
    <col min="38" max="40" width="9.140625" style="134"/>
    <col min="41" max="41" width="26.140625" style="134" bestFit="1" customWidth="1"/>
    <col min="42" max="16384" width="9.140625" style="134"/>
  </cols>
  <sheetData>
    <row r="1" spans="1:41" x14ac:dyDescent="0.4">
      <c r="X1" s="290"/>
      <c r="AO1" s="138" t="s">
        <v>256</v>
      </c>
    </row>
    <row r="2" spans="1:41" ht="27" customHeight="1" thickBot="1" x14ac:dyDescent="0.45">
      <c r="A2" s="165" t="s">
        <v>218</v>
      </c>
      <c r="AJ2" s="290">
        <f>SUM(AJ5,AJ7,AJ9,AJ11,AJ13,AJ15,AJ17,AJ19,AJ21,AJ23,AJ25,AJ27,AJ29,AJ31,AJ33,AJ35,AJ37,AJ39,AJ41,AJ43,AJ45,AJ47,AJ49,AJ51,AJ53,AJ55,AJ57,AJ59,AJ61,AJ63,AJ65,AJ67,AJ69,AJ71,AJ73,AJ75,AJ77,AJ79,AJ81,AJ83,AJ85,AJ87,AJ89,AJ91,AJ93,AJ95,AJ97,AJ99,AJ101,AJ103,AJ105,AJ107,AJ109,AJ111,AJ113,AJ115,AJ117,AJ119,AJ121,AJ123,AJ125,AJ127,AJ129,AJ131,AJ133,AJ135,AJ137,AJ139,AJ141,AJ143,AJ145,AJ147,AJ149,AJ151,AJ153,AJ155,AJ157,AJ159,AJ161,AJ163,AJ165,AJ167,AJ169,AJ171,AJ173,AJ175,AJ177,AJ179,AJ181,AJ183,AJ185,AJ187,AJ189,AJ191,AJ193,AJ195,AJ197,AJ199,AJ201,AJ203,AJ205,AJ207,AJ209,AJ211,AJ213,AJ215,AJ217,AJ219,AJ221,AJ223,AJ225,AJ227,AJ229,AJ231,AJ233)</f>
        <v>0</v>
      </c>
      <c r="AO2" s="139"/>
    </row>
    <row r="3" spans="1:41" ht="26.25" customHeight="1" thickBot="1" x14ac:dyDescent="0.45">
      <c r="A3" s="145"/>
      <c r="C3" s="332" t="s">
        <v>199</v>
      </c>
      <c r="D3" s="333"/>
      <c r="E3" s="333"/>
      <c r="F3" s="333"/>
      <c r="G3" s="333"/>
      <c r="H3" s="333"/>
      <c r="I3" s="334"/>
      <c r="J3" s="335" t="s">
        <v>194</v>
      </c>
      <c r="K3" s="336"/>
      <c r="L3" s="336"/>
      <c r="M3" s="336"/>
      <c r="N3" s="336"/>
      <c r="O3" s="337"/>
      <c r="P3" s="146"/>
      <c r="Q3" s="335" t="s">
        <v>189</v>
      </c>
      <c r="R3" s="336"/>
      <c r="S3" s="336"/>
      <c r="T3" s="336"/>
      <c r="U3" s="337"/>
      <c r="V3" s="147" t="s">
        <v>221</v>
      </c>
      <c r="W3" s="329" t="s">
        <v>223</v>
      </c>
      <c r="X3" s="331"/>
      <c r="Y3" s="148" t="s">
        <v>233</v>
      </c>
      <c r="Z3" s="329" t="s">
        <v>196</v>
      </c>
      <c r="AA3" s="330"/>
      <c r="AB3" s="330"/>
      <c r="AC3" s="330"/>
      <c r="AD3" s="330"/>
      <c r="AE3" s="330"/>
      <c r="AF3" s="331"/>
      <c r="AG3" s="326" t="s">
        <v>191</v>
      </c>
      <c r="AH3" s="327"/>
      <c r="AI3" s="328"/>
      <c r="AJ3" s="338" t="s">
        <v>257</v>
      </c>
      <c r="AK3" s="324" t="s">
        <v>255</v>
      </c>
      <c r="AO3" s="140" t="s">
        <v>160</v>
      </c>
    </row>
    <row r="4" spans="1:41" ht="79.5" thickBot="1" x14ac:dyDescent="0.45">
      <c r="A4" s="284" t="s">
        <v>128</v>
      </c>
      <c r="B4" s="285" t="s">
        <v>254</v>
      </c>
      <c r="C4" s="149" t="s">
        <v>209</v>
      </c>
      <c r="D4" s="150" t="s">
        <v>212</v>
      </c>
      <c r="E4" s="150" t="s">
        <v>200</v>
      </c>
      <c r="F4" s="150" t="s">
        <v>211</v>
      </c>
      <c r="G4" s="150" t="s">
        <v>210</v>
      </c>
      <c r="H4" s="150" t="s">
        <v>207</v>
      </c>
      <c r="I4" s="150" t="s">
        <v>206</v>
      </c>
      <c r="J4" s="151" t="s">
        <v>216</v>
      </c>
      <c r="K4" s="151" t="s">
        <v>195</v>
      </c>
      <c r="L4" s="151" t="s">
        <v>220</v>
      </c>
      <c r="M4" s="151" t="s">
        <v>213</v>
      </c>
      <c r="N4" s="151" t="s">
        <v>227</v>
      </c>
      <c r="O4" s="151" t="s">
        <v>215</v>
      </c>
      <c r="P4" s="150" t="s">
        <v>219</v>
      </c>
      <c r="Q4" s="151" t="s">
        <v>190</v>
      </c>
      <c r="R4" s="151" t="s">
        <v>202</v>
      </c>
      <c r="S4" s="151" t="s">
        <v>217</v>
      </c>
      <c r="T4" s="151" t="s">
        <v>214</v>
      </c>
      <c r="U4" s="151" t="s">
        <v>201</v>
      </c>
      <c r="V4" s="150" t="s">
        <v>222</v>
      </c>
      <c r="W4" s="151" t="s">
        <v>224</v>
      </c>
      <c r="X4" s="151" t="s">
        <v>232</v>
      </c>
      <c r="Y4" s="150" t="s">
        <v>234</v>
      </c>
      <c r="Z4" s="151" t="s">
        <v>229</v>
      </c>
      <c r="AA4" s="151" t="s">
        <v>230</v>
      </c>
      <c r="AB4" s="151" t="s">
        <v>197</v>
      </c>
      <c r="AC4" s="151" t="s">
        <v>198</v>
      </c>
      <c r="AD4" s="151" t="s">
        <v>204</v>
      </c>
      <c r="AE4" s="151" t="s">
        <v>208</v>
      </c>
      <c r="AF4" s="151" t="s">
        <v>205</v>
      </c>
      <c r="AG4" s="150" t="s">
        <v>203</v>
      </c>
      <c r="AH4" s="150" t="s">
        <v>192</v>
      </c>
      <c r="AI4" s="152" t="s">
        <v>193</v>
      </c>
      <c r="AJ4" s="339"/>
      <c r="AK4" s="325"/>
      <c r="AO4" s="140" t="s">
        <v>247</v>
      </c>
    </row>
    <row r="5" spans="1:41" x14ac:dyDescent="0.4">
      <c r="A5" s="153" t="s">
        <v>122</v>
      </c>
      <c r="B5" s="154">
        <f>'Step1 - Def and Mod Analysis'!U9</f>
        <v>3146858.3637917466</v>
      </c>
      <c r="C5" s="155">
        <v>0</v>
      </c>
      <c r="D5" s="156">
        <v>0</v>
      </c>
      <c r="E5" s="156">
        <v>8944460</v>
      </c>
      <c r="F5" s="156">
        <v>0</v>
      </c>
      <c r="G5" s="156">
        <v>137200</v>
      </c>
      <c r="H5" s="156">
        <v>0</v>
      </c>
      <c r="I5" s="156">
        <v>0</v>
      </c>
      <c r="J5" s="156">
        <v>0</v>
      </c>
      <c r="K5" s="156">
        <v>3684800</v>
      </c>
      <c r="L5" s="156">
        <v>0</v>
      </c>
      <c r="M5" s="156">
        <v>0</v>
      </c>
      <c r="N5" s="156">
        <v>0</v>
      </c>
      <c r="O5" s="156">
        <v>0</v>
      </c>
      <c r="P5" s="156">
        <v>0</v>
      </c>
      <c r="Q5" s="156">
        <v>0</v>
      </c>
      <c r="R5" s="156">
        <v>0</v>
      </c>
      <c r="S5" s="156">
        <v>0</v>
      </c>
      <c r="T5" s="156">
        <v>0</v>
      </c>
      <c r="U5" s="156">
        <v>0</v>
      </c>
      <c r="V5" s="156">
        <v>0</v>
      </c>
      <c r="W5" s="156">
        <v>0</v>
      </c>
      <c r="X5" s="156">
        <f>IFERROR(VLOOKUP(A5,Table7[],2,FALSE),0)</f>
        <v>2586728.2579200002</v>
      </c>
      <c r="Y5" s="156">
        <v>0</v>
      </c>
      <c r="Z5" s="156">
        <v>0</v>
      </c>
      <c r="AA5" s="156">
        <v>0</v>
      </c>
      <c r="AB5" s="156">
        <v>1172127.04</v>
      </c>
      <c r="AC5" s="156">
        <v>390040</v>
      </c>
      <c r="AD5" s="156">
        <v>0</v>
      </c>
      <c r="AE5" s="156">
        <v>0</v>
      </c>
      <c r="AF5" s="156">
        <v>0</v>
      </c>
      <c r="AG5" s="156">
        <v>0</v>
      </c>
      <c r="AH5" s="156">
        <v>0</v>
      </c>
      <c r="AI5" s="157">
        <v>3320632</v>
      </c>
      <c r="AJ5" s="141">
        <f>SUMIF(C6:AI6,"Yes",C5:AI5)</f>
        <v>0</v>
      </c>
      <c r="AK5" s="142">
        <f>AJ5+B5</f>
        <v>3146858.3637917466</v>
      </c>
    </row>
    <row r="6" spans="1:41" ht="19.5" customHeight="1" x14ac:dyDescent="0.4">
      <c r="A6" s="158"/>
      <c r="B6" s="159"/>
      <c r="C6" s="135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7"/>
      <c r="AJ6" s="144" t="str">
        <f>IF(COUNTIF(C6:AI6,"Yes")&lt;1,"",CONCATENATE("Count of 'Yes' : ",COUNTIF(C6:AI6,"Yes")))</f>
        <v/>
      </c>
      <c r="AK6" s="143"/>
    </row>
    <row r="7" spans="1:41" x14ac:dyDescent="0.4">
      <c r="A7" s="160" t="s">
        <v>17</v>
      </c>
      <c r="B7" s="161">
        <f>'Step1 - Def and Mod Analysis'!U10</f>
        <v>60020000</v>
      </c>
      <c r="C7" s="162">
        <v>0</v>
      </c>
      <c r="D7" s="163">
        <v>0</v>
      </c>
      <c r="E7" s="163">
        <v>0</v>
      </c>
      <c r="F7" s="163">
        <v>0</v>
      </c>
      <c r="G7" s="163">
        <v>137200</v>
      </c>
      <c r="H7" s="163">
        <v>4795140</v>
      </c>
      <c r="I7" s="163">
        <v>1097600</v>
      </c>
      <c r="J7" s="163">
        <v>0</v>
      </c>
      <c r="K7" s="163">
        <v>0</v>
      </c>
      <c r="L7" s="163">
        <v>0</v>
      </c>
      <c r="M7" s="163">
        <v>0</v>
      </c>
      <c r="N7" s="163">
        <v>0</v>
      </c>
      <c r="O7" s="163">
        <v>0</v>
      </c>
      <c r="P7" s="163">
        <v>0</v>
      </c>
      <c r="Q7" s="163">
        <v>0</v>
      </c>
      <c r="R7" s="163">
        <v>60020368</v>
      </c>
      <c r="S7" s="163">
        <v>0</v>
      </c>
      <c r="T7" s="163">
        <v>0</v>
      </c>
      <c r="U7" s="163">
        <v>0</v>
      </c>
      <c r="V7" s="163">
        <v>0</v>
      </c>
      <c r="W7" s="163">
        <v>0</v>
      </c>
      <c r="X7" s="156">
        <f>IFERROR(VLOOKUP(A7,Table7[],2,FALSE),0)</f>
        <v>294918.85327999998</v>
      </c>
      <c r="Y7" s="163">
        <v>0</v>
      </c>
      <c r="Z7" s="163">
        <v>0</v>
      </c>
      <c r="AA7" s="163">
        <v>0</v>
      </c>
      <c r="AB7" s="163">
        <v>909855.52</v>
      </c>
      <c r="AC7" s="163">
        <v>0</v>
      </c>
      <c r="AD7" s="163">
        <v>741303.36</v>
      </c>
      <c r="AE7" s="163">
        <v>0</v>
      </c>
      <c r="AF7" s="163">
        <v>0</v>
      </c>
      <c r="AG7" s="163">
        <v>4226348</v>
      </c>
      <c r="AH7" s="163">
        <v>12259996</v>
      </c>
      <c r="AI7" s="164">
        <v>519400</v>
      </c>
      <c r="AJ7" s="141">
        <f>SUMIF(C8:AI8,"Yes",C7:AI7)</f>
        <v>0</v>
      </c>
      <c r="AK7" s="142">
        <f>AJ7+B7</f>
        <v>60020000</v>
      </c>
    </row>
    <row r="8" spans="1:41" ht="19.5" customHeight="1" x14ac:dyDescent="0.4">
      <c r="A8" s="158"/>
      <c r="B8" s="159"/>
      <c r="C8" s="135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7"/>
      <c r="AJ8" s="144" t="str">
        <f>IF(COUNTIF(C8:AI8,"Yes")&lt;1,"",CONCATENATE("Count of 'Yes' : ",COUNTIF(C8:AI8,"Yes")))</f>
        <v/>
      </c>
      <c r="AK8" s="143"/>
    </row>
    <row r="9" spans="1:41" x14ac:dyDescent="0.4">
      <c r="A9" s="160" t="s">
        <v>18</v>
      </c>
      <c r="B9" s="161">
        <f>'Step1 - Def and Mod Analysis'!U11</f>
        <v>1917375.6348733318</v>
      </c>
      <c r="C9" s="162">
        <v>0</v>
      </c>
      <c r="D9" s="163">
        <v>0</v>
      </c>
      <c r="E9" s="163">
        <v>0</v>
      </c>
      <c r="F9" s="163">
        <v>0</v>
      </c>
      <c r="G9" s="163">
        <v>0</v>
      </c>
      <c r="H9" s="163">
        <v>0</v>
      </c>
      <c r="I9" s="163">
        <v>0</v>
      </c>
      <c r="J9" s="163">
        <v>0</v>
      </c>
      <c r="K9" s="163">
        <v>1274000</v>
      </c>
      <c r="L9" s="163">
        <v>0</v>
      </c>
      <c r="M9" s="163">
        <v>0</v>
      </c>
      <c r="N9" s="163">
        <v>0</v>
      </c>
      <c r="O9" s="163">
        <v>0</v>
      </c>
      <c r="P9" s="163">
        <v>0</v>
      </c>
      <c r="Q9" s="163">
        <v>0</v>
      </c>
      <c r="R9" s="163">
        <v>0</v>
      </c>
      <c r="S9" s="163">
        <v>0</v>
      </c>
      <c r="T9" s="163">
        <v>0</v>
      </c>
      <c r="U9" s="163">
        <v>0</v>
      </c>
      <c r="V9" s="163">
        <v>0</v>
      </c>
      <c r="W9" s="163">
        <v>0</v>
      </c>
      <c r="X9" s="156">
        <f>IFERROR(VLOOKUP(A9,Table7[],2,FALSE),0)</f>
        <v>846024.35279999999</v>
      </c>
      <c r="Y9" s="163">
        <v>0</v>
      </c>
      <c r="Z9" s="163">
        <v>0</v>
      </c>
      <c r="AA9" s="163">
        <v>0</v>
      </c>
      <c r="AB9" s="163">
        <v>0</v>
      </c>
      <c r="AC9" s="163">
        <v>0</v>
      </c>
      <c r="AD9" s="163">
        <v>0</v>
      </c>
      <c r="AE9" s="163">
        <v>0</v>
      </c>
      <c r="AF9" s="163">
        <v>0</v>
      </c>
      <c r="AG9" s="163">
        <v>0</v>
      </c>
      <c r="AH9" s="163">
        <v>0</v>
      </c>
      <c r="AI9" s="164">
        <v>0</v>
      </c>
      <c r="AJ9" s="141">
        <f t="shared" ref="AJ9" si="0">SUMIF(C10:AI10,"Yes",C9:AI9)</f>
        <v>0</v>
      </c>
      <c r="AK9" s="142">
        <f>AJ9+B9</f>
        <v>1917375.6348733318</v>
      </c>
    </row>
    <row r="10" spans="1:41" ht="19.5" customHeight="1" x14ac:dyDescent="0.4">
      <c r="A10" s="158"/>
      <c r="B10" s="159"/>
      <c r="C10" s="135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7"/>
      <c r="AJ10" s="144" t="str">
        <f t="shared" ref="AJ10" si="1">IF(COUNTIF(C10:AI10,"Yes")&lt;1,"",CONCATENATE("Count of 'Yes' : ",COUNTIF(C10:AI10,"Yes")))</f>
        <v/>
      </c>
      <c r="AK10" s="143"/>
    </row>
    <row r="11" spans="1:41" x14ac:dyDescent="0.4">
      <c r="A11" s="160" t="s">
        <v>19</v>
      </c>
      <c r="B11" s="161">
        <f>'Step1 - Def and Mod Analysis'!U12</f>
        <v>30000000</v>
      </c>
      <c r="C11" s="162">
        <v>5880000</v>
      </c>
      <c r="D11" s="163">
        <v>0</v>
      </c>
      <c r="E11" s="163">
        <v>0</v>
      </c>
      <c r="F11" s="163">
        <v>123480</v>
      </c>
      <c r="G11" s="163">
        <v>137200</v>
      </c>
      <c r="H11" s="163">
        <v>0</v>
      </c>
      <c r="I11" s="163">
        <v>0</v>
      </c>
      <c r="J11" s="163">
        <v>0</v>
      </c>
      <c r="K11" s="163">
        <v>0</v>
      </c>
      <c r="L11" s="163">
        <v>0</v>
      </c>
      <c r="M11" s="163">
        <v>0</v>
      </c>
      <c r="N11" s="163">
        <v>0</v>
      </c>
      <c r="O11" s="163">
        <v>0</v>
      </c>
      <c r="P11" s="163">
        <v>0</v>
      </c>
      <c r="Q11" s="163">
        <v>0</v>
      </c>
      <c r="R11" s="163">
        <v>60020368</v>
      </c>
      <c r="S11" s="163">
        <v>0</v>
      </c>
      <c r="T11" s="163">
        <v>0</v>
      </c>
      <c r="U11" s="163">
        <v>0</v>
      </c>
      <c r="V11" s="163">
        <v>0</v>
      </c>
      <c r="W11" s="163">
        <v>0</v>
      </c>
      <c r="X11" s="156">
        <f>IFERROR(VLOOKUP(A11,Table7[],2,FALSE),0)</f>
        <v>303641.78175999998</v>
      </c>
      <c r="Y11" s="163">
        <v>0</v>
      </c>
      <c r="Z11" s="163">
        <v>0</v>
      </c>
      <c r="AA11" s="163">
        <v>0</v>
      </c>
      <c r="AB11" s="163">
        <v>0</v>
      </c>
      <c r="AC11" s="163">
        <v>0</v>
      </c>
      <c r="AD11" s="163">
        <v>1696262.4</v>
      </c>
      <c r="AE11" s="163">
        <v>205800</v>
      </c>
      <c r="AF11" s="163">
        <v>125440</v>
      </c>
      <c r="AG11" s="163">
        <v>0</v>
      </c>
      <c r="AH11" s="163">
        <v>1175608</v>
      </c>
      <c r="AI11" s="164">
        <v>642880</v>
      </c>
      <c r="AJ11" s="141">
        <f t="shared" ref="AJ11" si="2">SUMIF(C12:AI12,"Yes",C11:AI11)</f>
        <v>0</v>
      </c>
      <c r="AK11" s="142">
        <f>AJ11+B11</f>
        <v>30000000</v>
      </c>
    </row>
    <row r="12" spans="1:41" ht="19.5" customHeight="1" x14ac:dyDescent="0.4">
      <c r="A12" s="158"/>
      <c r="B12" s="159"/>
      <c r="C12" s="135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7"/>
      <c r="AJ12" s="144" t="str">
        <f t="shared" ref="AJ12" si="3">IF(COUNTIF(C12:AI12,"Yes")&lt;1,"",CONCATENATE("Count of 'Yes' : ",COUNTIF(C12:AI12,"Yes")))</f>
        <v/>
      </c>
      <c r="AK12" s="143"/>
    </row>
    <row r="13" spans="1:41" x14ac:dyDescent="0.4">
      <c r="A13" s="160" t="s">
        <v>164</v>
      </c>
      <c r="B13" s="161">
        <f>'Step1 - Def and Mod Analysis'!U13</f>
        <v>1643164.8</v>
      </c>
      <c r="C13" s="162">
        <v>0</v>
      </c>
      <c r="D13" s="163">
        <v>0</v>
      </c>
      <c r="E13" s="163">
        <v>0</v>
      </c>
      <c r="F13" s="163">
        <v>0</v>
      </c>
      <c r="G13" s="163">
        <v>137200</v>
      </c>
      <c r="H13" s="163">
        <v>0</v>
      </c>
      <c r="I13" s="163">
        <v>0</v>
      </c>
      <c r="J13" s="163">
        <v>0</v>
      </c>
      <c r="K13" s="163">
        <v>0</v>
      </c>
      <c r="L13" s="163">
        <v>0</v>
      </c>
      <c r="M13" s="163">
        <v>0</v>
      </c>
      <c r="N13" s="163">
        <v>0</v>
      </c>
      <c r="O13" s="163">
        <v>0</v>
      </c>
      <c r="P13" s="163">
        <v>0</v>
      </c>
      <c r="Q13" s="163">
        <v>0</v>
      </c>
      <c r="R13" s="163">
        <v>0</v>
      </c>
      <c r="S13" s="163">
        <v>0</v>
      </c>
      <c r="T13" s="163">
        <v>0</v>
      </c>
      <c r="U13" s="163">
        <v>0</v>
      </c>
      <c r="V13" s="163">
        <v>0</v>
      </c>
      <c r="W13" s="163">
        <v>0</v>
      </c>
      <c r="X13" s="156">
        <f>IFERROR(VLOOKUP(A13,Table7[],2,FALSE),0)</f>
        <v>298943.27606399998</v>
      </c>
      <c r="Y13" s="163">
        <v>0</v>
      </c>
      <c r="Z13" s="163">
        <v>0</v>
      </c>
      <c r="AA13" s="163">
        <v>0</v>
      </c>
      <c r="AB13" s="163">
        <v>0</v>
      </c>
      <c r="AC13" s="163">
        <v>0</v>
      </c>
      <c r="AD13" s="163">
        <v>0</v>
      </c>
      <c r="AE13" s="163">
        <v>0</v>
      </c>
      <c r="AF13" s="163">
        <v>0</v>
      </c>
      <c r="AG13" s="163">
        <v>0</v>
      </c>
      <c r="AH13" s="163">
        <v>0</v>
      </c>
      <c r="AI13" s="164">
        <v>0</v>
      </c>
      <c r="AJ13" s="141">
        <f t="shared" ref="AJ13" si="4">SUMIF(C14:AI14,"Yes",C13:AI13)</f>
        <v>0</v>
      </c>
      <c r="AK13" s="142">
        <f>AJ13+B13</f>
        <v>1643164.8</v>
      </c>
    </row>
    <row r="14" spans="1:41" ht="19.5" customHeight="1" x14ac:dyDescent="0.4">
      <c r="A14" s="158"/>
      <c r="B14" s="159"/>
      <c r="C14" s="135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7"/>
      <c r="AJ14" s="144" t="str">
        <f t="shared" ref="AJ14" si="5">IF(COUNTIF(C14:AI14,"Yes")&lt;1,"",CONCATENATE("Count of 'Yes' : ",COUNTIF(C14:AI14,"Yes")))</f>
        <v/>
      </c>
      <c r="AK14" s="143"/>
    </row>
    <row r="15" spans="1:41" x14ac:dyDescent="0.4">
      <c r="A15" s="160" t="s">
        <v>20</v>
      </c>
      <c r="B15" s="161">
        <f>'Step1 - Def and Mod Analysis'!U14</f>
        <v>9377054.4867602978</v>
      </c>
      <c r="C15" s="162">
        <v>0</v>
      </c>
      <c r="D15" s="163">
        <v>0</v>
      </c>
      <c r="E15" s="163">
        <v>0</v>
      </c>
      <c r="F15" s="163">
        <v>0</v>
      </c>
      <c r="G15" s="163">
        <v>0</v>
      </c>
      <c r="H15" s="163">
        <v>0</v>
      </c>
      <c r="I15" s="163">
        <v>0</v>
      </c>
      <c r="J15" s="163">
        <v>0</v>
      </c>
      <c r="K15" s="163">
        <v>3684800</v>
      </c>
      <c r="L15" s="163">
        <v>0</v>
      </c>
      <c r="M15" s="163">
        <v>0</v>
      </c>
      <c r="N15" s="163">
        <v>0</v>
      </c>
      <c r="O15" s="163">
        <v>0</v>
      </c>
      <c r="P15" s="163">
        <v>0</v>
      </c>
      <c r="Q15" s="163">
        <v>0</v>
      </c>
      <c r="R15" s="163">
        <v>0</v>
      </c>
      <c r="S15" s="163">
        <v>0</v>
      </c>
      <c r="T15" s="163">
        <v>0</v>
      </c>
      <c r="U15" s="163">
        <v>0</v>
      </c>
      <c r="V15" s="163">
        <v>0</v>
      </c>
      <c r="W15" s="163">
        <v>0</v>
      </c>
      <c r="X15" s="156">
        <f>IFERROR(VLOOKUP(A15,Table7[],2,FALSE),0)</f>
        <v>3939144.5312640006</v>
      </c>
      <c r="Y15" s="163">
        <v>0</v>
      </c>
      <c r="Z15" s="163">
        <v>0</v>
      </c>
      <c r="AA15" s="163">
        <v>0</v>
      </c>
      <c r="AB15" s="163">
        <v>0</v>
      </c>
      <c r="AC15" s="163">
        <v>0</v>
      </c>
      <c r="AD15" s="163">
        <v>0</v>
      </c>
      <c r="AE15" s="163">
        <v>0</v>
      </c>
      <c r="AF15" s="163">
        <v>0</v>
      </c>
      <c r="AG15" s="163">
        <v>0</v>
      </c>
      <c r="AH15" s="163">
        <v>0</v>
      </c>
      <c r="AI15" s="164">
        <v>0</v>
      </c>
      <c r="AJ15" s="141">
        <f t="shared" ref="AJ15" si="6">SUMIF(C16:AI16,"Yes",C15:AI15)</f>
        <v>0</v>
      </c>
      <c r="AK15" s="142">
        <f>AJ15+B15</f>
        <v>9377054.4867602978</v>
      </c>
    </row>
    <row r="16" spans="1:41" ht="19.5" customHeight="1" x14ac:dyDescent="0.4">
      <c r="A16" s="158"/>
      <c r="B16" s="159"/>
      <c r="C16" s="135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7"/>
      <c r="AJ16" s="144" t="str">
        <f t="shared" ref="AJ16" si="7">IF(COUNTIF(C16:AI16,"Yes")&lt;1,"",CONCATENATE("Count of 'Yes' : ",COUNTIF(C16:AI16,"Yes")))</f>
        <v/>
      </c>
      <c r="AK16" s="143"/>
    </row>
    <row r="17" spans="1:37" x14ac:dyDescent="0.4">
      <c r="A17" s="160" t="s">
        <v>21</v>
      </c>
      <c r="B17" s="161">
        <f>'Step1 - Def and Mod Analysis'!U15</f>
        <v>7883551.6588616604</v>
      </c>
      <c r="C17" s="162">
        <v>0</v>
      </c>
      <c r="D17" s="163">
        <v>0</v>
      </c>
      <c r="E17" s="163">
        <v>0</v>
      </c>
      <c r="F17" s="163">
        <v>0</v>
      </c>
      <c r="G17" s="163">
        <v>0</v>
      </c>
      <c r="H17" s="163">
        <v>0</v>
      </c>
      <c r="I17" s="163">
        <v>0</v>
      </c>
      <c r="J17" s="163">
        <v>0</v>
      </c>
      <c r="K17" s="163">
        <v>0</v>
      </c>
      <c r="L17" s="163">
        <v>0</v>
      </c>
      <c r="M17" s="163">
        <v>0</v>
      </c>
      <c r="N17" s="163">
        <v>0</v>
      </c>
      <c r="O17" s="163">
        <v>0</v>
      </c>
      <c r="P17" s="163">
        <v>0</v>
      </c>
      <c r="Q17" s="163">
        <v>0</v>
      </c>
      <c r="R17" s="163">
        <v>0</v>
      </c>
      <c r="S17" s="163">
        <v>0</v>
      </c>
      <c r="T17" s="163">
        <v>0</v>
      </c>
      <c r="U17" s="163">
        <v>0</v>
      </c>
      <c r="V17" s="163">
        <v>0</v>
      </c>
      <c r="W17" s="163">
        <v>0</v>
      </c>
      <c r="X17" s="156">
        <f>IFERROR(VLOOKUP(A17,Table7[],2,FALSE),0)</f>
        <v>303641.78175999998</v>
      </c>
      <c r="Y17" s="163">
        <v>0</v>
      </c>
      <c r="Z17" s="163">
        <v>0</v>
      </c>
      <c r="AA17" s="163">
        <v>0</v>
      </c>
      <c r="AB17" s="163">
        <v>0</v>
      </c>
      <c r="AC17" s="163">
        <v>0</v>
      </c>
      <c r="AD17" s="163">
        <v>0</v>
      </c>
      <c r="AE17" s="163">
        <v>0</v>
      </c>
      <c r="AF17" s="163">
        <v>0</v>
      </c>
      <c r="AG17" s="163">
        <v>0</v>
      </c>
      <c r="AH17" s="163">
        <v>0</v>
      </c>
      <c r="AI17" s="164">
        <v>0</v>
      </c>
      <c r="AJ17" s="141">
        <f t="shared" ref="AJ17" si="8">SUMIF(C18:AI18,"Yes",C17:AI17)</f>
        <v>0</v>
      </c>
      <c r="AK17" s="142">
        <f>AJ17+B17</f>
        <v>7883551.6588616604</v>
      </c>
    </row>
    <row r="18" spans="1:37" ht="19.5" customHeight="1" x14ac:dyDescent="0.4">
      <c r="A18" s="158"/>
      <c r="B18" s="159"/>
      <c r="C18" s="135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7"/>
      <c r="AJ18" s="144" t="str">
        <f t="shared" ref="AJ18" si="9">IF(COUNTIF(C18:AI18,"Yes")&lt;1,"",CONCATENATE("Count of 'Yes' : ",COUNTIF(C18:AI18,"Yes")))</f>
        <v/>
      </c>
      <c r="AK18" s="143"/>
    </row>
    <row r="19" spans="1:37" x14ac:dyDescent="0.4">
      <c r="A19" s="160" t="s">
        <v>22</v>
      </c>
      <c r="B19" s="161">
        <f>'Step1 - Def and Mod Analysis'!U16</f>
        <v>2457697.8611005386</v>
      </c>
      <c r="C19" s="162">
        <v>0</v>
      </c>
      <c r="D19" s="163">
        <v>0</v>
      </c>
      <c r="E19" s="163">
        <v>0</v>
      </c>
      <c r="F19" s="163">
        <v>0</v>
      </c>
      <c r="G19" s="163">
        <v>0</v>
      </c>
      <c r="H19" s="163">
        <v>0</v>
      </c>
      <c r="I19" s="163">
        <v>0</v>
      </c>
      <c r="J19" s="163">
        <v>0</v>
      </c>
      <c r="K19" s="163">
        <v>0</v>
      </c>
      <c r="L19" s="163">
        <v>0</v>
      </c>
      <c r="M19" s="163">
        <v>0</v>
      </c>
      <c r="N19" s="163">
        <v>0</v>
      </c>
      <c r="O19" s="163">
        <v>0</v>
      </c>
      <c r="P19" s="163">
        <v>0</v>
      </c>
      <c r="Q19" s="163">
        <v>0</v>
      </c>
      <c r="R19" s="163">
        <v>0</v>
      </c>
      <c r="S19" s="163">
        <v>0</v>
      </c>
      <c r="T19" s="163">
        <v>0</v>
      </c>
      <c r="U19" s="163">
        <v>0</v>
      </c>
      <c r="V19" s="163">
        <v>0</v>
      </c>
      <c r="W19" s="163">
        <v>0</v>
      </c>
      <c r="X19" s="156">
        <f>IFERROR(VLOOKUP(A19,Table7[],2,FALSE),0)</f>
        <v>280149.25328</v>
      </c>
      <c r="Y19" s="163">
        <v>0</v>
      </c>
      <c r="Z19" s="163">
        <v>0</v>
      </c>
      <c r="AA19" s="163">
        <v>0</v>
      </c>
      <c r="AB19" s="163">
        <v>0</v>
      </c>
      <c r="AC19" s="163">
        <v>0</v>
      </c>
      <c r="AD19" s="163">
        <v>0</v>
      </c>
      <c r="AE19" s="163">
        <v>0</v>
      </c>
      <c r="AF19" s="163">
        <v>0</v>
      </c>
      <c r="AG19" s="163">
        <v>0</v>
      </c>
      <c r="AH19" s="163">
        <v>0</v>
      </c>
      <c r="AI19" s="164">
        <v>0</v>
      </c>
      <c r="AJ19" s="141">
        <f t="shared" ref="AJ19" si="10">SUMIF(C20:AI20,"Yes",C19:AI19)</f>
        <v>0</v>
      </c>
      <c r="AK19" s="142">
        <f>AJ19+B19</f>
        <v>2457697.8611005386</v>
      </c>
    </row>
    <row r="20" spans="1:37" ht="19.5" customHeight="1" x14ac:dyDescent="0.4">
      <c r="A20" s="158"/>
      <c r="B20" s="159"/>
      <c r="C20" s="135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7"/>
      <c r="AJ20" s="144" t="str">
        <f t="shared" ref="AJ20" si="11">IF(COUNTIF(C20:AI20,"Yes")&lt;1,"",CONCATENATE("Count of 'Yes' : ",COUNTIF(C20:AI20,"Yes")))</f>
        <v/>
      </c>
      <c r="AK20" s="143"/>
    </row>
    <row r="21" spans="1:37" x14ac:dyDescent="0.4">
      <c r="A21" s="160" t="s">
        <v>23</v>
      </c>
      <c r="B21" s="161">
        <f>'Step1 - Def and Mod Analysis'!U17</f>
        <v>5141841.6294460827</v>
      </c>
      <c r="C21" s="162">
        <v>0</v>
      </c>
      <c r="D21" s="163">
        <v>0</v>
      </c>
      <c r="E21" s="163">
        <v>0</v>
      </c>
      <c r="F21" s="163">
        <v>0</v>
      </c>
      <c r="G21" s="163">
        <v>0</v>
      </c>
      <c r="H21" s="163">
        <v>0</v>
      </c>
      <c r="I21" s="163">
        <v>0</v>
      </c>
      <c r="J21" s="163">
        <v>0</v>
      </c>
      <c r="K21" s="163">
        <v>0</v>
      </c>
      <c r="L21" s="163">
        <v>0</v>
      </c>
      <c r="M21" s="163">
        <v>0</v>
      </c>
      <c r="N21" s="163">
        <v>0</v>
      </c>
      <c r="O21" s="163">
        <v>0</v>
      </c>
      <c r="P21" s="163">
        <v>0</v>
      </c>
      <c r="Q21" s="163">
        <v>0</v>
      </c>
      <c r="R21" s="163">
        <v>0</v>
      </c>
      <c r="S21" s="163">
        <v>0</v>
      </c>
      <c r="T21" s="163">
        <v>0</v>
      </c>
      <c r="U21" s="163">
        <v>0</v>
      </c>
      <c r="V21" s="163">
        <v>0</v>
      </c>
      <c r="W21" s="163">
        <v>0</v>
      </c>
      <c r="X21" s="156">
        <f>IFERROR(VLOOKUP(A21,Table7[],2,FALSE),0)</f>
        <v>402738.86379999999</v>
      </c>
      <c r="Y21" s="163">
        <v>0</v>
      </c>
      <c r="Z21" s="163">
        <v>0</v>
      </c>
      <c r="AA21" s="163">
        <v>0</v>
      </c>
      <c r="AB21" s="163">
        <v>0</v>
      </c>
      <c r="AC21" s="163">
        <v>0</v>
      </c>
      <c r="AD21" s="163">
        <v>0</v>
      </c>
      <c r="AE21" s="163">
        <v>0</v>
      </c>
      <c r="AF21" s="163">
        <v>0</v>
      </c>
      <c r="AG21" s="163">
        <v>0</v>
      </c>
      <c r="AH21" s="163">
        <v>0</v>
      </c>
      <c r="AI21" s="164">
        <v>0</v>
      </c>
      <c r="AJ21" s="141">
        <f t="shared" ref="AJ21" si="12">SUMIF(C22:AI22,"Yes",C21:AI21)</f>
        <v>0</v>
      </c>
      <c r="AK21" s="142">
        <f>AJ21+B21</f>
        <v>5141841.6294460827</v>
      </c>
    </row>
    <row r="22" spans="1:37" ht="19.5" customHeight="1" x14ac:dyDescent="0.4">
      <c r="A22" s="158"/>
      <c r="B22" s="159"/>
      <c r="C22" s="135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7"/>
      <c r="AJ22" s="144" t="str">
        <f t="shared" ref="AJ22" si="13">IF(COUNTIF(C22:AI22,"Yes")&lt;1,"",CONCATENATE("Count of 'Yes' : ",COUNTIF(C22:AI22,"Yes")))</f>
        <v/>
      </c>
      <c r="AK22" s="143"/>
    </row>
    <row r="23" spans="1:37" x14ac:dyDescent="0.4">
      <c r="A23" s="160" t="s">
        <v>24</v>
      </c>
      <c r="B23" s="161">
        <f>'Step1 - Def and Mod Analysis'!U18</f>
        <v>60020000</v>
      </c>
      <c r="C23" s="162">
        <v>5880000</v>
      </c>
      <c r="D23" s="163">
        <v>0</v>
      </c>
      <c r="E23" s="163">
        <v>0</v>
      </c>
      <c r="F23" s="163">
        <v>123480</v>
      </c>
      <c r="G23" s="163">
        <v>137200</v>
      </c>
      <c r="H23" s="163">
        <v>4795140</v>
      </c>
      <c r="I23" s="163">
        <v>0</v>
      </c>
      <c r="J23" s="163">
        <v>0</v>
      </c>
      <c r="K23" s="163">
        <v>0</v>
      </c>
      <c r="L23" s="163">
        <v>0</v>
      </c>
      <c r="M23" s="163">
        <v>0</v>
      </c>
      <c r="N23" s="163">
        <v>0</v>
      </c>
      <c r="O23" s="163">
        <v>0</v>
      </c>
      <c r="P23" s="163">
        <v>0</v>
      </c>
      <c r="Q23" s="163">
        <v>0</v>
      </c>
      <c r="R23" s="163">
        <v>60020368</v>
      </c>
      <c r="S23" s="163">
        <v>0</v>
      </c>
      <c r="T23" s="163">
        <v>0</v>
      </c>
      <c r="U23" s="163">
        <v>0</v>
      </c>
      <c r="V23" s="163">
        <v>0</v>
      </c>
      <c r="W23" s="163">
        <v>0</v>
      </c>
      <c r="X23" s="156">
        <f>IFERROR(VLOOKUP(A23,Table7[],2,FALSE),0)</f>
        <v>2157298.8739200002</v>
      </c>
      <c r="Y23" s="163">
        <v>0</v>
      </c>
      <c r="Z23" s="163">
        <v>0</v>
      </c>
      <c r="AA23" s="163">
        <v>0</v>
      </c>
      <c r="AB23" s="163">
        <v>0</v>
      </c>
      <c r="AC23" s="163">
        <v>0</v>
      </c>
      <c r="AD23" s="163">
        <v>1636992</v>
      </c>
      <c r="AE23" s="163">
        <v>205800</v>
      </c>
      <c r="AF23" s="163">
        <v>0</v>
      </c>
      <c r="AG23" s="163">
        <v>0</v>
      </c>
      <c r="AH23" s="163">
        <v>2151100</v>
      </c>
      <c r="AI23" s="164">
        <v>642880</v>
      </c>
      <c r="AJ23" s="141">
        <f t="shared" ref="AJ23" si="14">SUMIF(C24:AI24,"Yes",C23:AI23)</f>
        <v>0</v>
      </c>
      <c r="AK23" s="142">
        <f>AJ23+B23</f>
        <v>60020000</v>
      </c>
    </row>
    <row r="24" spans="1:37" ht="19.5" customHeight="1" x14ac:dyDescent="0.4">
      <c r="A24" s="158"/>
      <c r="B24" s="159"/>
      <c r="C24" s="135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7"/>
      <c r="AJ24" s="144" t="str">
        <f t="shared" ref="AJ24" si="15">IF(COUNTIF(C24:AI24,"Yes")&lt;1,"",CONCATENATE("Count of 'Yes' : ",COUNTIF(C24:AI24,"Yes")))</f>
        <v/>
      </c>
      <c r="AK24" s="143"/>
    </row>
    <row r="25" spans="1:37" x14ac:dyDescent="0.4">
      <c r="A25" s="160" t="s">
        <v>25</v>
      </c>
      <c r="B25" s="161">
        <f>'Step1 - Def and Mod Analysis'!U19</f>
        <v>429171.01228675427</v>
      </c>
      <c r="C25" s="162">
        <v>0</v>
      </c>
      <c r="D25" s="163">
        <v>0</v>
      </c>
      <c r="E25" s="163">
        <v>0</v>
      </c>
      <c r="F25" s="163">
        <v>0</v>
      </c>
      <c r="G25" s="163">
        <v>0</v>
      </c>
      <c r="H25" s="163">
        <v>0</v>
      </c>
      <c r="I25" s="163">
        <v>0</v>
      </c>
      <c r="J25" s="163">
        <v>0</v>
      </c>
      <c r="K25" s="163">
        <v>0</v>
      </c>
      <c r="L25" s="163">
        <v>0</v>
      </c>
      <c r="M25" s="163">
        <v>0</v>
      </c>
      <c r="N25" s="163">
        <v>0</v>
      </c>
      <c r="O25" s="163">
        <v>0</v>
      </c>
      <c r="P25" s="163">
        <v>0</v>
      </c>
      <c r="Q25" s="163">
        <v>0</v>
      </c>
      <c r="R25" s="163">
        <v>0</v>
      </c>
      <c r="S25" s="163">
        <v>0</v>
      </c>
      <c r="T25" s="163">
        <v>0</v>
      </c>
      <c r="U25" s="163">
        <v>0</v>
      </c>
      <c r="V25" s="163">
        <v>0</v>
      </c>
      <c r="W25" s="163">
        <v>0</v>
      </c>
      <c r="X25" s="156">
        <f>IFERROR(VLOOKUP(A25,Table7[],2,FALSE),0)</f>
        <v>2019881.4710400002</v>
      </c>
      <c r="Y25" s="163">
        <v>0</v>
      </c>
      <c r="Z25" s="163">
        <v>0</v>
      </c>
      <c r="AA25" s="163">
        <v>0</v>
      </c>
      <c r="AB25" s="163">
        <v>0</v>
      </c>
      <c r="AC25" s="163">
        <v>0</v>
      </c>
      <c r="AD25" s="163">
        <v>0</v>
      </c>
      <c r="AE25" s="163">
        <v>0</v>
      </c>
      <c r="AF25" s="163">
        <v>0</v>
      </c>
      <c r="AG25" s="163">
        <v>4226348</v>
      </c>
      <c r="AH25" s="163">
        <v>0</v>
      </c>
      <c r="AI25" s="164">
        <v>0</v>
      </c>
      <c r="AJ25" s="141">
        <f t="shared" ref="AJ25" si="16">SUMIF(C26:AI26,"Yes",C25:AI25)</f>
        <v>0</v>
      </c>
      <c r="AK25" s="142">
        <f>AJ25+B25</f>
        <v>429171.01228675427</v>
      </c>
    </row>
    <row r="26" spans="1:37" ht="19.5" customHeight="1" x14ac:dyDescent="0.4">
      <c r="A26" s="158"/>
      <c r="B26" s="159"/>
      <c r="C26" s="135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7"/>
      <c r="AJ26" s="144" t="str">
        <f t="shared" ref="AJ26" si="17">IF(COUNTIF(C26:AI26,"Yes")&lt;1,"",CONCATENATE("Count of 'Yes' : ",COUNTIF(C26:AI26,"Yes")))</f>
        <v/>
      </c>
      <c r="AK26" s="143"/>
    </row>
    <row r="27" spans="1:37" x14ac:dyDescent="0.4">
      <c r="A27" s="160" t="s">
        <v>26</v>
      </c>
      <c r="B27" s="161">
        <f>'Step1 - Def and Mod Analysis'!U20</f>
        <v>0</v>
      </c>
      <c r="C27" s="162">
        <v>0</v>
      </c>
      <c r="D27" s="163">
        <v>0</v>
      </c>
      <c r="E27" s="163">
        <v>0</v>
      </c>
      <c r="F27" s="163">
        <v>0</v>
      </c>
      <c r="G27" s="163">
        <v>0</v>
      </c>
      <c r="H27" s="163">
        <v>0</v>
      </c>
      <c r="I27" s="163">
        <v>0</v>
      </c>
      <c r="J27" s="163">
        <v>0</v>
      </c>
      <c r="K27" s="163">
        <v>0</v>
      </c>
      <c r="L27" s="163">
        <v>0</v>
      </c>
      <c r="M27" s="163">
        <v>0</v>
      </c>
      <c r="N27" s="163">
        <v>0</v>
      </c>
      <c r="O27" s="163">
        <v>0</v>
      </c>
      <c r="P27" s="163">
        <v>14000000</v>
      </c>
      <c r="Q27" s="163">
        <v>0</v>
      </c>
      <c r="R27" s="163">
        <v>0</v>
      </c>
      <c r="S27" s="163">
        <v>0</v>
      </c>
      <c r="T27" s="163">
        <v>0</v>
      </c>
      <c r="U27" s="163">
        <v>0</v>
      </c>
      <c r="V27" s="163">
        <v>0</v>
      </c>
      <c r="W27" s="163">
        <v>0</v>
      </c>
      <c r="X27" s="156">
        <f>IFERROR(VLOOKUP(A27,Table7[],2,FALSE),0)</f>
        <v>0</v>
      </c>
      <c r="Y27" s="163">
        <v>0</v>
      </c>
      <c r="Z27" s="163">
        <v>0</v>
      </c>
      <c r="AA27" s="163">
        <v>0</v>
      </c>
      <c r="AB27" s="163">
        <v>0</v>
      </c>
      <c r="AC27" s="163">
        <v>0</v>
      </c>
      <c r="AD27" s="163">
        <v>0</v>
      </c>
      <c r="AE27" s="163">
        <v>0</v>
      </c>
      <c r="AF27" s="163">
        <v>0</v>
      </c>
      <c r="AG27" s="163">
        <v>0</v>
      </c>
      <c r="AH27" s="163">
        <v>0</v>
      </c>
      <c r="AI27" s="164">
        <v>0</v>
      </c>
      <c r="AJ27" s="141">
        <f t="shared" ref="AJ27" si="18">SUMIF(C28:AI28,"Yes",C27:AI27)</f>
        <v>0</v>
      </c>
      <c r="AK27" s="142">
        <f>AJ27+B27</f>
        <v>0</v>
      </c>
    </row>
    <row r="28" spans="1:37" ht="19.5" customHeight="1" x14ac:dyDescent="0.4">
      <c r="A28" s="158"/>
      <c r="B28" s="159"/>
      <c r="C28" s="135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7"/>
      <c r="AJ28" s="144" t="str">
        <f t="shared" ref="AJ28" si="19">IF(COUNTIF(C28:AI28,"Yes")&lt;1,"",CONCATENATE("Count of 'Yes' : ",COUNTIF(C28:AI28,"Yes")))</f>
        <v/>
      </c>
      <c r="AK28" s="143"/>
    </row>
    <row r="29" spans="1:37" x14ac:dyDescent="0.4">
      <c r="A29" s="160" t="s">
        <v>27</v>
      </c>
      <c r="B29" s="161">
        <f>'Step1 - Def and Mod Analysis'!U21</f>
        <v>427212.64001539251</v>
      </c>
      <c r="C29" s="162">
        <v>0</v>
      </c>
      <c r="D29" s="163">
        <v>0</v>
      </c>
      <c r="E29" s="163">
        <v>0</v>
      </c>
      <c r="F29" s="163">
        <v>0</v>
      </c>
      <c r="G29" s="163">
        <v>0</v>
      </c>
      <c r="H29" s="163">
        <v>0</v>
      </c>
      <c r="I29" s="163">
        <v>0</v>
      </c>
      <c r="J29" s="163">
        <v>0</v>
      </c>
      <c r="K29" s="163">
        <v>0</v>
      </c>
      <c r="L29" s="163">
        <v>0</v>
      </c>
      <c r="M29" s="163">
        <v>0</v>
      </c>
      <c r="N29" s="163">
        <v>0</v>
      </c>
      <c r="O29" s="163">
        <v>0</v>
      </c>
      <c r="P29" s="163">
        <v>0</v>
      </c>
      <c r="Q29" s="163">
        <v>0</v>
      </c>
      <c r="R29" s="163">
        <v>0</v>
      </c>
      <c r="S29" s="163">
        <v>0</v>
      </c>
      <c r="T29" s="163">
        <v>0</v>
      </c>
      <c r="U29" s="163">
        <v>0</v>
      </c>
      <c r="V29" s="163">
        <v>0</v>
      </c>
      <c r="W29" s="163">
        <v>0</v>
      </c>
      <c r="X29" s="156">
        <f>IFERROR(VLOOKUP(A29,Table7[],2,FALSE),0)</f>
        <v>1603315.2064</v>
      </c>
      <c r="Y29" s="163">
        <v>0</v>
      </c>
      <c r="Z29" s="163">
        <v>0</v>
      </c>
      <c r="AA29" s="163">
        <v>0</v>
      </c>
      <c r="AB29" s="163">
        <v>0</v>
      </c>
      <c r="AC29" s="163">
        <v>0</v>
      </c>
      <c r="AD29" s="163">
        <v>0</v>
      </c>
      <c r="AE29" s="163">
        <v>0</v>
      </c>
      <c r="AF29" s="163">
        <v>0</v>
      </c>
      <c r="AG29" s="163">
        <v>0</v>
      </c>
      <c r="AH29" s="163">
        <v>0</v>
      </c>
      <c r="AI29" s="164">
        <v>0</v>
      </c>
      <c r="AJ29" s="141">
        <f t="shared" ref="AJ29" si="20">SUMIF(C30:AI30,"Yes",C29:AI29)</f>
        <v>0</v>
      </c>
      <c r="AK29" s="142">
        <f>AJ29+B29</f>
        <v>427212.64001539251</v>
      </c>
    </row>
    <row r="30" spans="1:37" ht="19.5" customHeight="1" x14ac:dyDescent="0.4">
      <c r="A30" s="158"/>
      <c r="B30" s="159"/>
      <c r="C30" s="135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7"/>
      <c r="AJ30" s="144" t="str">
        <f t="shared" ref="AJ30" si="21">IF(COUNTIF(C30:AI30,"Yes")&lt;1,"",CONCATENATE("Count of 'Yes' : ",COUNTIF(C30:AI30,"Yes")))</f>
        <v/>
      </c>
      <c r="AK30" s="143"/>
    </row>
    <row r="31" spans="1:37" x14ac:dyDescent="0.4">
      <c r="A31" s="160" t="s">
        <v>28</v>
      </c>
      <c r="B31" s="161">
        <f>'Step1 - Def and Mod Analysis'!U22</f>
        <v>4211774.4578655204</v>
      </c>
      <c r="C31" s="162">
        <v>0</v>
      </c>
      <c r="D31" s="163">
        <v>0</v>
      </c>
      <c r="E31" s="163">
        <v>0</v>
      </c>
      <c r="F31" s="163">
        <v>0</v>
      </c>
      <c r="G31" s="163">
        <v>137200</v>
      </c>
      <c r="H31" s="163">
        <v>0</v>
      </c>
      <c r="I31" s="163">
        <v>0</v>
      </c>
      <c r="J31" s="163">
        <v>0</v>
      </c>
      <c r="K31" s="163">
        <v>0</v>
      </c>
      <c r="L31" s="163">
        <v>0</v>
      </c>
      <c r="M31" s="163">
        <v>0</v>
      </c>
      <c r="N31" s="163">
        <v>0</v>
      </c>
      <c r="O31" s="163">
        <v>0</v>
      </c>
      <c r="P31" s="163">
        <v>0</v>
      </c>
      <c r="Q31" s="163">
        <v>0</v>
      </c>
      <c r="R31" s="163">
        <v>0</v>
      </c>
      <c r="S31" s="163">
        <v>0</v>
      </c>
      <c r="T31" s="163">
        <v>0</v>
      </c>
      <c r="U31" s="163">
        <v>0</v>
      </c>
      <c r="V31" s="163">
        <v>0</v>
      </c>
      <c r="W31" s="163">
        <v>0</v>
      </c>
      <c r="X31" s="156">
        <f>IFERROR(VLOOKUP(A31,Table7[],2,FALSE),0)</f>
        <v>0</v>
      </c>
      <c r="Y31" s="163">
        <v>0</v>
      </c>
      <c r="Z31" s="163">
        <v>0</v>
      </c>
      <c r="AA31" s="163">
        <v>0</v>
      </c>
      <c r="AB31" s="163">
        <v>0</v>
      </c>
      <c r="AC31" s="163">
        <v>0</v>
      </c>
      <c r="AD31" s="163">
        <v>0</v>
      </c>
      <c r="AE31" s="163">
        <v>0</v>
      </c>
      <c r="AF31" s="163">
        <v>0</v>
      </c>
      <c r="AG31" s="163">
        <v>0</v>
      </c>
      <c r="AH31" s="163">
        <v>0</v>
      </c>
      <c r="AI31" s="164">
        <v>0</v>
      </c>
      <c r="AJ31" s="141">
        <f t="shared" ref="AJ31" si="22">SUMIF(C32:AI32,"Yes",C31:AI31)</f>
        <v>0</v>
      </c>
      <c r="AK31" s="142">
        <f>AJ31+B31</f>
        <v>4211774.4578655204</v>
      </c>
    </row>
    <row r="32" spans="1:37" ht="19.5" customHeight="1" x14ac:dyDescent="0.4">
      <c r="A32" s="158"/>
      <c r="B32" s="159"/>
      <c r="C32" s="135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7"/>
      <c r="AJ32" s="144" t="str">
        <f t="shared" ref="AJ32" si="23">IF(COUNTIF(C32:AI32,"Yes")&lt;1,"",CONCATENATE("Count of 'Yes' : ",COUNTIF(C32:AI32,"Yes")))</f>
        <v/>
      </c>
      <c r="AK32" s="143"/>
    </row>
    <row r="33" spans="1:37" x14ac:dyDescent="0.4">
      <c r="A33" s="160" t="s">
        <v>29</v>
      </c>
      <c r="B33" s="161">
        <f>'Step1 - Def and Mod Analysis'!U23</f>
        <v>3991487.3483002102</v>
      </c>
      <c r="C33" s="162">
        <v>0</v>
      </c>
      <c r="D33" s="163">
        <v>0</v>
      </c>
      <c r="E33" s="163">
        <v>0</v>
      </c>
      <c r="F33" s="163">
        <v>0</v>
      </c>
      <c r="G33" s="163">
        <v>0</v>
      </c>
      <c r="H33" s="163">
        <v>0</v>
      </c>
      <c r="I33" s="163">
        <v>0</v>
      </c>
      <c r="J33" s="163">
        <v>0</v>
      </c>
      <c r="K33" s="163">
        <v>0</v>
      </c>
      <c r="L33" s="163">
        <v>0</v>
      </c>
      <c r="M33" s="163">
        <v>0</v>
      </c>
      <c r="N33" s="163">
        <v>0</v>
      </c>
      <c r="O33" s="163">
        <v>0</v>
      </c>
      <c r="P33" s="163">
        <v>0</v>
      </c>
      <c r="Q33" s="163">
        <v>0</v>
      </c>
      <c r="R33" s="163">
        <v>46021767</v>
      </c>
      <c r="S33" s="163">
        <v>0</v>
      </c>
      <c r="T33" s="163">
        <v>0</v>
      </c>
      <c r="U33" s="163">
        <v>0</v>
      </c>
      <c r="V33" s="163">
        <v>0</v>
      </c>
      <c r="W33" s="163">
        <v>0</v>
      </c>
      <c r="X33" s="156">
        <f>IFERROR(VLOOKUP(A33,Table7[],2,FALSE),0)</f>
        <v>1419081.4681600002</v>
      </c>
      <c r="Y33" s="163">
        <v>0</v>
      </c>
      <c r="Z33" s="163">
        <v>0</v>
      </c>
      <c r="AA33" s="163">
        <v>0</v>
      </c>
      <c r="AB33" s="163">
        <v>0</v>
      </c>
      <c r="AC33" s="163">
        <v>0</v>
      </c>
      <c r="AD33" s="163">
        <v>0</v>
      </c>
      <c r="AE33" s="163">
        <v>0</v>
      </c>
      <c r="AF33" s="163">
        <v>0</v>
      </c>
      <c r="AG33" s="163">
        <v>0</v>
      </c>
      <c r="AH33" s="163">
        <v>0</v>
      </c>
      <c r="AI33" s="164">
        <v>519400</v>
      </c>
      <c r="AJ33" s="141">
        <f t="shared" ref="AJ33" si="24">SUMIF(C34:AI34,"Yes",C33:AI33)</f>
        <v>0</v>
      </c>
      <c r="AK33" s="142">
        <f>AJ33+B33</f>
        <v>3991487.3483002102</v>
      </c>
    </row>
    <row r="34" spans="1:37" ht="19.5" customHeight="1" x14ac:dyDescent="0.4">
      <c r="A34" s="158"/>
      <c r="B34" s="159"/>
      <c r="C34" s="135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7"/>
      <c r="AJ34" s="144" t="str">
        <f t="shared" ref="AJ34" si="25">IF(COUNTIF(C34:AI34,"Yes")&lt;1,"",CONCATENATE("Count of 'Yes' : ",COUNTIF(C34:AI34,"Yes")))</f>
        <v/>
      </c>
      <c r="AK34" s="143"/>
    </row>
    <row r="35" spans="1:37" x14ac:dyDescent="0.4">
      <c r="A35" s="160" t="s">
        <v>30</v>
      </c>
      <c r="B35" s="161">
        <f>'Step1 - Def and Mod Analysis'!U24</f>
        <v>5008815.0522538833</v>
      </c>
      <c r="C35" s="162">
        <v>0</v>
      </c>
      <c r="D35" s="163">
        <v>0</v>
      </c>
      <c r="E35" s="163">
        <v>0</v>
      </c>
      <c r="F35" s="163">
        <v>0</v>
      </c>
      <c r="G35" s="163">
        <v>137200</v>
      </c>
      <c r="H35" s="163">
        <v>0</v>
      </c>
      <c r="I35" s="163">
        <v>0</v>
      </c>
      <c r="J35" s="163">
        <v>0</v>
      </c>
      <c r="K35" s="163">
        <v>0</v>
      </c>
      <c r="L35" s="163">
        <v>0</v>
      </c>
      <c r="M35" s="163">
        <v>0</v>
      </c>
      <c r="N35" s="163">
        <v>0</v>
      </c>
      <c r="O35" s="163">
        <v>0</v>
      </c>
      <c r="P35" s="163">
        <v>0</v>
      </c>
      <c r="Q35" s="163">
        <v>0</v>
      </c>
      <c r="R35" s="163">
        <v>0</v>
      </c>
      <c r="S35" s="163">
        <v>0</v>
      </c>
      <c r="T35" s="163">
        <v>0</v>
      </c>
      <c r="U35" s="163">
        <v>0</v>
      </c>
      <c r="V35" s="163">
        <v>0</v>
      </c>
      <c r="W35" s="163">
        <v>0</v>
      </c>
      <c r="X35" s="156">
        <f>IFERROR(VLOOKUP(A35,Table7[],2,FALSE),0)</f>
        <v>1257876.9472000001</v>
      </c>
      <c r="Y35" s="163">
        <v>0</v>
      </c>
      <c r="Z35" s="163">
        <v>0</v>
      </c>
      <c r="AA35" s="163">
        <v>0</v>
      </c>
      <c r="AB35" s="163">
        <v>0</v>
      </c>
      <c r="AC35" s="163">
        <v>0</v>
      </c>
      <c r="AD35" s="163">
        <v>0</v>
      </c>
      <c r="AE35" s="163">
        <v>0</v>
      </c>
      <c r="AF35" s="163">
        <v>0</v>
      </c>
      <c r="AG35" s="163">
        <v>0</v>
      </c>
      <c r="AH35" s="163">
        <v>0</v>
      </c>
      <c r="AI35" s="164">
        <v>0</v>
      </c>
      <c r="AJ35" s="141">
        <f t="shared" ref="AJ35" si="26">SUMIF(C36:AI36,"Yes",C35:AI35)</f>
        <v>0</v>
      </c>
      <c r="AK35" s="142">
        <f>AJ35+B35</f>
        <v>5008815.0522538833</v>
      </c>
    </row>
    <row r="36" spans="1:37" ht="19.5" customHeight="1" x14ac:dyDescent="0.4">
      <c r="A36" s="158"/>
      <c r="B36" s="159"/>
      <c r="C36" s="135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7"/>
      <c r="AJ36" s="144" t="str">
        <f t="shared" ref="AJ36" si="27">IF(COUNTIF(C36:AI36,"Yes")&lt;1,"",CONCATENATE("Count of 'Yes' : ",COUNTIF(C36:AI36,"Yes")))</f>
        <v/>
      </c>
      <c r="AK36" s="143"/>
    </row>
    <row r="37" spans="1:37" x14ac:dyDescent="0.4">
      <c r="A37" s="160" t="s">
        <v>31</v>
      </c>
      <c r="B37" s="161">
        <f>'Step1 - Def and Mod Analysis'!U25</f>
        <v>0</v>
      </c>
      <c r="C37" s="162">
        <v>0</v>
      </c>
      <c r="D37" s="163">
        <v>0</v>
      </c>
      <c r="E37" s="163">
        <v>0</v>
      </c>
      <c r="F37" s="163">
        <v>0</v>
      </c>
      <c r="G37" s="163">
        <v>0</v>
      </c>
      <c r="H37" s="163">
        <v>0</v>
      </c>
      <c r="I37" s="163">
        <v>0</v>
      </c>
      <c r="J37" s="163">
        <v>0</v>
      </c>
      <c r="K37" s="163">
        <v>0</v>
      </c>
      <c r="L37" s="163">
        <v>0</v>
      </c>
      <c r="M37" s="163">
        <v>0</v>
      </c>
      <c r="N37" s="163">
        <v>0</v>
      </c>
      <c r="O37" s="163">
        <v>0</v>
      </c>
      <c r="P37" s="163">
        <v>0</v>
      </c>
      <c r="Q37" s="163">
        <v>0</v>
      </c>
      <c r="R37" s="163">
        <v>0</v>
      </c>
      <c r="S37" s="163">
        <v>0</v>
      </c>
      <c r="T37" s="163">
        <v>0</v>
      </c>
      <c r="U37" s="163">
        <v>0</v>
      </c>
      <c r="V37" s="163">
        <v>0</v>
      </c>
      <c r="W37" s="163">
        <v>0</v>
      </c>
      <c r="X37" s="156">
        <f>IFERROR(VLOOKUP(A37,Table7[],2,FALSE),0)</f>
        <v>0</v>
      </c>
      <c r="Y37" s="163">
        <v>0</v>
      </c>
      <c r="Z37" s="163">
        <v>0</v>
      </c>
      <c r="AA37" s="163">
        <v>0</v>
      </c>
      <c r="AB37" s="163">
        <v>0</v>
      </c>
      <c r="AC37" s="163">
        <v>0</v>
      </c>
      <c r="AD37" s="163">
        <v>0</v>
      </c>
      <c r="AE37" s="163">
        <v>0</v>
      </c>
      <c r="AF37" s="163">
        <v>0</v>
      </c>
      <c r="AG37" s="163">
        <v>0</v>
      </c>
      <c r="AH37" s="163">
        <v>0</v>
      </c>
      <c r="AI37" s="164">
        <v>0</v>
      </c>
      <c r="AJ37" s="141">
        <f t="shared" ref="AJ37" si="28">SUMIF(C38:AI38,"Yes",C37:AI37)</f>
        <v>0</v>
      </c>
      <c r="AK37" s="142">
        <f>AJ37+B37</f>
        <v>0</v>
      </c>
    </row>
    <row r="38" spans="1:37" ht="19.5" customHeight="1" x14ac:dyDescent="0.4">
      <c r="A38" s="158"/>
      <c r="B38" s="159"/>
      <c r="C38" s="135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7"/>
      <c r="AJ38" s="144" t="str">
        <f t="shared" ref="AJ38" si="29">IF(COUNTIF(C38:AI38,"Yes")&lt;1,"",CONCATENATE("Count of 'Yes' : ",COUNTIF(C38:AI38,"Yes")))</f>
        <v/>
      </c>
      <c r="AK38" s="143"/>
    </row>
    <row r="39" spans="1:37" x14ac:dyDescent="0.4">
      <c r="A39" s="160" t="s">
        <v>32</v>
      </c>
      <c r="B39" s="161">
        <f>'Step1 - Def and Mod Analysis'!U26</f>
        <v>139117.25599928986</v>
      </c>
      <c r="C39" s="162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56">
        <f>IFERROR(VLOOKUP(A39,Table7[],2,FALSE),0)</f>
        <v>431892.29639999999</v>
      </c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4"/>
      <c r="AJ39" s="141">
        <f t="shared" ref="AJ39" si="30">SUMIF(C40:AI40,"Yes",C39:AI39)</f>
        <v>0</v>
      </c>
      <c r="AK39" s="142">
        <f>AJ39+B39</f>
        <v>139117.25599928986</v>
      </c>
    </row>
    <row r="40" spans="1:37" ht="19.5" customHeight="1" x14ac:dyDescent="0.4">
      <c r="A40" s="158"/>
      <c r="B40" s="159"/>
      <c r="C40" s="135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7"/>
      <c r="AJ40" s="144" t="str">
        <f t="shared" ref="AJ40" si="31">IF(COUNTIF(C40:AI40,"Yes")&lt;1,"",CONCATENATE("Count of 'Yes' : ",COUNTIF(C40:AI40,"Yes")))</f>
        <v/>
      </c>
      <c r="AK40" s="143"/>
    </row>
    <row r="41" spans="1:37" x14ac:dyDescent="0.4">
      <c r="A41" s="160" t="s">
        <v>33</v>
      </c>
      <c r="B41" s="161">
        <f>'Step1 - Def and Mod Analysis'!U27</f>
        <v>2769087.816614348</v>
      </c>
      <c r="C41" s="162">
        <v>0</v>
      </c>
      <c r="D41" s="163">
        <v>0</v>
      </c>
      <c r="E41" s="163">
        <v>0</v>
      </c>
      <c r="F41" s="163">
        <v>0</v>
      </c>
      <c r="G41" s="163">
        <v>0</v>
      </c>
      <c r="H41" s="163">
        <v>0</v>
      </c>
      <c r="I41" s="163">
        <v>0</v>
      </c>
      <c r="J41" s="163">
        <v>0</v>
      </c>
      <c r="K41" s="163">
        <v>0</v>
      </c>
      <c r="L41" s="163">
        <v>0</v>
      </c>
      <c r="M41" s="163">
        <v>0</v>
      </c>
      <c r="N41" s="163">
        <v>0</v>
      </c>
      <c r="O41" s="163">
        <v>0</v>
      </c>
      <c r="P41" s="163">
        <v>0</v>
      </c>
      <c r="Q41" s="163">
        <v>0</v>
      </c>
      <c r="R41" s="163">
        <v>0</v>
      </c>
      <c r="S41" s="163">
        <v>0</v>
      </c>
      <c r="T41" s="163">
        <v>0</v>
      </c>
      <c r="U41" s="163">
        <v>0</v>
      </c>
      <c r="V41" s="163">
        <v>0</v>
      </c>
      <c r="W41" s="163">
        <v>0</v>
      </c>
      <c r="X41" s="156">
        <f>IFERROR(VLOOKUP(A41,Table7[],2,FALSE),0)</f>
        <v>805209.54715999996</v>
      </c>
      <c r="Y41" s="163">
        <v>0</v>
      </c>
      <c r="Z41" s="163">
        <v>0</v>
      </c>
      <c r="AA41" s="163">
        <v>0</v>
      </c>
      <c r="AB41" s="163">
        <v>0</v>
      </c>
      <c r="AC41" s="163">
        <v>0</v>
      </c>
      <c r="AD41" s="163">
        <v>0</v>
      </c>
      <c r="AE41" s="163">
        <v>0</v>
      </c>
      <c r="AF41" s="163">
        <v>0</v>
      </c>
      <c r="AG41" s="163">
        <v>0</v>
      </c>
      <c r="AH41" s="163">
        <v>0</v>
      </c>
      <c r="AI41" s="164">
        <v>0</v>
      </c>
      <c r="AJ41" s="141">
        <f t="shared" ref="AJ41" si="32">SUMIF(C42:AI42,"Yes",C41:AI41)</f>
        <v>0</v>
      </c>
      <c r="AK41" s="142">
        <f>AJ41+B41</f>
        <v>2769087.816614348</v>
      </c>
    </row>
    <row r="42" spans="1:37" ht="19.5" customHeight="1" x14ac:dyDescent="0.4">
      <c r="A42" s="158"/>
      <c r="B42" s="159"/>
      <c r="C42" s="135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7"/>
      <c r="AJ42" s="144" t="str">
        <f t="shared" ref="AJ42" si="33">IF(COUNTIF(C42:AI42,"Yes")&lt;1,"",CONCATENATE("Count of 'Yes' : ",COUNTIF(C42:AI42,"Yes")))</f>
        <v/>
      </c>
      <c r="AK42" s="143"/>
    </row>
    <row r="43" spans="1:37" x14ac:dyDescent="0.4">
      <c r="A43" s="160" t="s">
        <v>34</v>
      </c>
      <c r="B43" s="161">
        <f>'Step1 - Def and Mod Analysis'!U28</f>
        <v>22778856.404140379</v>
      </c>
      <c r="C43" s="162">
        <v>0</v>
      </c>
      <c r="D43" s="163">
        <v>0</v>
      </c>
      <c r="E43" s="163">
        <v>0</v>
      </c>
      <c r="F43" s="163">
        <v>0</v>
      </c>
      <c r="G43" s="163">
        <v>0</v>
      </c>
      <c r="H43" s="163">
        <v>0</v>
      </c>
      <c r="I43" s="163">
        <v>0</v>
      </c>
      <c r="J43" s="163">
        <v>0</v>
      </c>
      <c r="K43" s="163">
        <v>3684800</v>
      </c>
      <c r="L43" s="163">
        <v>0</v>
      </c>
      <c r="M43" s="163">
        <v>0</v>
      </c>
      <c r="N43" s="163">
        <v>0</v>
      </c>
      <c r="O43" s="163">
        <v>0</v>
      </c>
      <c r="P43" s="163">
        <v>0</v>
      </c>
      <c r="Q43" s="163">
        <v>0</v>
      </c>
      <c r="R43" s="163">
        <v>0</v>
      </c>
      <c r="S43" s="163">
        <v>0</v>
      </c>
      <c r="T43" s="163">
        <v>0</v>
      </c>
      <c r="U43" s="163">
        <v>0</v>
      </c>
      <c r="V43" s="163">
        <v>0</v>
      </c>
      <c r="W43" s="163">
        <v>0</v>
      </c>
      <c r="X43" s="156">
        <f>IFERROR(VLOOKUP(A43,Table7[],2,FALSE),0)</f>
        <v>641950.32459999993</v>
      </c>
      <c r="Y43" s="163">
        <v>0</v>
      </c>
      <c r="Z43" s="163">
        <v>0</v>
      </c>
      <c r="AA43" s="163">
        <v>0</v>
      </c>
      <c r="AB43" s="163">
        <v>0</v>
      </c>
      <c r="AC43" s="163">
        <v>0</v>
      </c>
      <c r="AD43" s="163">
        <v>0</v>
      </c>
      <c r="AE43" s="163">
        <v>0</v>
      </c>
      <c r="AF43" s="163">
        <v>0</v>
      </c>
      <c r="AG43" s="163">
        <v>0</v>
      </c>
      <c r="AH43" s="163">
        <v>0</v>
      </c>
      <c r="AI43" s="164">
        <v>0</v>
      </c>
      <c r="AJ43" s="141">
        <f t="shared" ref="AJ43" si="34">SUMIF(C44:AI44,"Yes",C43:AI43)</f>
        <v>0</v>
      </c>
      <c r="AK43" s="142">
        <f>AJ43+B43</f>
        <v>22778856.404140379</v>
      </c>
    </row>
    <row r="44" spans="1:37" ht="19.5" customHeight="1" x14ac:dyDescent="0.4">
      <c r="A44" s="158"/>
      <c r="B44" s="159"/>
      <c r="C44" s="135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7"/>
      <c r="AJ44" s="144" t="str">
        <f t="shared" ref="AJ44" si="35">IF(COUNTIF(C44:AI44,"Yes")&lt;1,"",CONCATENATE("Count of 'Yes' : ",COUNTIF(C44:AI44,"Yes")))</f>
        <v/>
      </c>
      <c r="AK44" s="143"/>
    </row>
    <row r="45" spans="1:37" x14ac:dyDescent="0.4">
      <c r="A45" s="160" t="s">
        <v>35</v>
      </c>
      <c r="B45" s="161">
        <f>'Step1 - Def and Mod Analysis'!U29</f>
        <v>0</v>
      </c>
      <c r="C45" s="162">
        <v>0</v>
      </c>
      <c r="D45" s="163">
        <v>0</v>
      </c>
      <c r="E45" s="163">
        <v>0</v>
      </c>
      <c r="F45" s="163">
        <v>0</v>
      </c>
      <c r="G45" s="163">
        <v>0</v>
      </c>
      <c r="H45" s="163">
        <v>0</v>
      </c>
      <c r="I45" s="163">
        <v>0</v>
      </c>
      <c r="J45" s="163">
        <v>0</v>
      </c>
      <c r="K45" s="163">
        <v>0</v>
      </c>
      <c r="L45" s="163">
        <v>0</v>
      </c>
      <c r="M45" s="163">
        <v>0</v>
      </c>
      <c r="N45" s="163">
        <v>0</v>
      </c>
      <c r="O45" s="163">
        <v>0</v>
      </c>
      <c r="P45" s="163">
        <v>0</v>
      </c>
      <c r="Q45" s="163">
        <v>0</v>
      </c>
      <c r="R45" s="163">
        <v>0</v>
      </c>
      <c r="S45" s="163">
        <v>0</v>
      </c>
      <c r="T45" s="163">
        <v>0</v>
      </c>
      <c r="U45" s="163">
        <v>0</v>
      </c>
      <c r="V45" s="163">
        <v>0</v>
      </c>
      <c r="W45" s="163">
        <v>0</v>
      </c>
      <c r="X45" s="156">
        <f>IFERROR(VLOOKUP(A45,Table7[],2,FALSE),0)</f>
        <v>0</v>
      </c>
      <c r="Y45" s="163">
        <v>0</v>
      </c>
      <c r="Z45" s="163">
        <v>0</v>
      </c>
      <c r="AA45" s="163">
        <v>0</v>
      </c>
      <c r="AB45" s="163">
        <v>0</v>
      </c>
      <c r="AC45" s="163">
        <v>0</v>
      </c>
      <c r="AD45" s="163">
        <v>0</v>
      </c>
      <c r="AE45" s="163">
        <v>0</v>
      </c>
      <c r="AF45" s="163">
        <v>0</v>
      </c>
      <c r="AG45" s="163">
        <v>0</v>
      </c>
      <c r="AH45" s="163">
        <v>0</v>
      </c>
      <c r="AI45" s="164">
        <v>0</v>
      </c>
      <c r="AJ45" s="141">
        <f t="shared" ref="AJ45" si="36">SUMIF(C46:AI46,"Yes",C45:AI45)</f>
        <v>0</v>
      </c>
      <c r="AK45" s="142">
        <f>AJ45+B45</f>
        <v>0</v>
      </c>
    </row>
    <row r="46" spans="1:37" ht="19.5" customHeight="1" x14ac:dyDescent="0.4">
      <c r="A46" s="158"/>
      <c r="B46" s="159"/>
      <c r="C46" s="135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7"/>
      <c r="AJ46" s="144" t="str">
        <f t="shared" ref="AJ46" si="37">IF(COUNTIF(C46:AI46,"Yes")&lt;1,"",CONCATENATE("Count of 'Yes' : ",COUNTIF(C46:AI46,"Yes")))</f>
        <v/>
      </c>
      <c r="AK46" s="143"/>
    </row>
    <row r="47" spans="1:37" x14ac:dyDescent="0.4">
      <c r="A47" s="160" t="s">
        <v>123</v>
      </c>
      <c r="B47" s="161">
        <f>'Step1 - Def and Mod Analysis'!U30</f>
        <v>0</v>
      </c>
      <c r="C47" s="162">
        <v>0</v>
      </c>
      <c r="D47" s="163">
        <v>0</v>
      </c>
      <c r="E47" s="163">
        <v>0</v>
      </c>
      <c r="F47" s="163">
        <v>0</v>
      </c>
      <c r="G47" s="163">
        <v>137200</v>
      </c>
      <c r="H47" s="163">
        <v>0</v>
      </c>
      <c r="I47" s="163">
        <v>0</v>
      </c>
      <c r="J47" s="163">
        <v>0</v>
      </c>
      <c r="K47" s="163">
        <v>0</v>
      </c>
      <c r="L47" s="163">
        <v>0</v>
      </c>
      <c r="M47" s="163">
        <v>0</v>
      </c>
      <c r="N47" s="163">
        <v>0</v>
      </c>
      <c r="O47" s="163">
        <v>0</v>
      </c>
      <c r="P47" s="163">
        <v>0</v>
      </c>
      <c r="Q47" s="163">
        <v>0</v>
      </c>
      <c r="R47" s="163">
        <v>0</v>
      </c>
      <c r="S47" s="163">
        <v>0</v>
      </c>
      <c r="T47" s="163">
        <v>0</v>
      </c>
      <c r="U47" s="163">
        <v>0</v>
      </c>
      <c r="V47" s="163">
        <v>0</v>
      </c>
      <c r="W47" s="163">
        <v>0</v>
      </c>
      <c r="X47" s="156">
        <f>IFERROR(VLOOKUP(A47,Table7[],2,FALSE),0)</f>
        <v>0</v>
      </c>
      <c r="Y47" s="163">
        <v>0</v>
      </c>
      <c r="Z47" s="163">
        <v>0</v>
      </c>
      <c r="AA47" s="163">
        <v>0</v>
      </c>
      <c r="AB47" s="163">
        <v>0</v>
      </c>
      <c r="AC47" s="163">
        <v>0</v>
      </c>
      <c r="AD47" s="163">
        <v>0</v>
      </c>
      <c r="AE47" s="163">
        <v>0</v>
      </c>
      <c r="AF47" s="163">
        <v>0</v>
      </c>
      <c r="AG47" s="163">
        <v>0</v>
      </c>
      <c r="AH47" s="163">
        <v>0</v>
      </c>
      <c r="AI47" s="164">
        <v>0</v>
      </c>
      <c r="AJ47" s="141">
        <f t="shared" ref="AJ47" si="38">SUMIF(C48:AI48,"Yes",C47:AI47)</f>
        <v>0</v>
      </c>
      <c r="AK47" s="142">
        <f>AJ47+B47</f>
        <v>0</v>
      </c>
    </row>
    <row r="48" spans="1:37" ht="19.5" customHeight="1" x14ac:dyDescent="0.4">
      <c r="A48" s="158"/>
      <c r="B48" s="159"/>
      <c r="C48" s="135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7"/>
      <c r="AJ48" s="144" t="str">
        <f t="shared" ref="AJ48" si="39">IF(COUNTIF(C48:AI48,"Yes")&lt;1,"",CONCATENATE("Count of 'Yes' : ",COUNTIF(C48:AI48,"Yes")))</f>
        <v/>
      </c>
      <c r="AK48" s="143"/>
    </row>
    <row r="49" spans="1:37" x14ac:dyDescent="0.4">
      <c r="A49" s="160" t="s">
        <v>36</v>
      </c>
      <c r="B49" s="161">
        <f>'Step1 - Def and Mod Analysis'!U31</f>
        <v>584288.81906381494</v>
      </c>
      <c r="C49" s="162">
        <v>0</v>
      </c>
      <c r="D49" s="163">
        <v>0</v>
      </c>
      <c r="E49" s="163">
        <v>0</v>
      </c>
      <c r="F49" s="163">
        <v>0</v>
      </c>
      <c r="G49" s="163">
        <v>0</v>
      </c>
      <c r="H49" s="163">
        <v>0</v>
      </c>
      <c r="I49" s="163">
        <v>0</v>
      </c>
      <c r="J49" s="163">
        <v>0</v>
      </c>
      <c r="K49" s="163">
        <v>0</v>
      </c>
      <c r="L49" s="163">
        <v>0</v>
      </c>
      <c r="M49" s="163">
        <v>0</v>
      </c>
      <c r="N49" s="163">
        <v>0</v>
      </c>
      <c r="O49" s="163">
        <v>0</v>
      </c>
      <c r="P49" s="163">
        <v>0</v>
      </c>
      <c r="Q49" s="163">
        <v>0</v>
      </c>
      <c r="R49" s="163">
        <v>0</v>
      </c>
      <c r="S49" s="163">
        <v>0</v>
      </c>
      <c r="T49" s="163">
        <v>0</v>
      </c>
      <c r="U49" s="163">
        <v>0</v>
      </c>
      <c r="V49" s="163">
        <v>0</v>
      </c>
      <c r="W49" s="163">
        <v>0</v>
      </c>
      <c r="X49" s="156">
        <f>IFERROR(VLOOKUP(A49,Table7[],2,FALSE),0)</f>
        <v>280149.25328</v>
      </c>
      <c r="Y49" s="163">
        <v>0</v>
      </c>
      <c r="Z49" s="163">
        <v>0</v>
      </c>
      <c r="AA49" s="163">
        <v>0</v>
      </c>
      <c r="AB49" s="163">
        <v>0</v>
      </c>
      <c r="AC49" s="163">
        <v>0</v>
      </c>
      <c r="AD49" s="163">
        <v>0</v>
      </c>
      <c r="AE49" s="163">
        <v>0</v>
      </c>
      <c r="AF49" s="163">
        <v>0</v>
      </c>
      <c r="AG49" s="163">
        <v>0</v>
      </c>
      <c r="AH49" s="163">
        <v>0</v>
      </c>
      <c r="AI49" s="164">
        <v>0</v>
      </c>
      <c r="AJ49" s="141">
        <f t="shared" ref="AJ49" si="40">SUMIF(C50:AI50,"Yes",C49:AI49)</f>
        <v>0</v>
      </c>
      <c r="AK49" s="142">
        <f>AJ49+B49</f>
        <v>584288.81906381494</v>
      </c>
    </row>
    <row r="50" spans="1:37" ht="19.5" customHeight="1" x14ac:dyDescent="0.4">
      <c r="A50" s="158"/>
      <c r="B50" s="159"/>
      <c r="C50" s="135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7"/>
      <c r="AJ50" s="144" t="str">
        <f t="shared" ref="AJ50" si="41">IF(COUNTIF(C50:AI50,"Yes")&lt;1,"",CONCATENATE("Count of 'Yes' : ",COUNTIF(C50:AI50,"Yes")))</f>
        <v/>
      </c>
      <c r="AK50" s="143"/>
    </row>
    <row r="51" spans="1:37" x14ac:dyDescent="0.4">
      <c r="A51" s="160" t="s">
        <v>37</v>
      </c>
      <c r="B51" s="161">
        <f>'Step1 - Def and Mod Analysis'!U32</f>
        <v>160712000</v>
      </c>
      <c r="C51" s="162">
        <v>7840000</v>
      </c>
      <c r="D51" s="163">
        <v>0</v>
      </c>
      <c r="E51" s="163">
        <v>0</v>
      </c>
      <c r="F51" s="163">
        <v>123480</v>
      </c>
      <c r="G51" s="163">
        <v>137200</v>
      </c>
      <c r="H51" s="163">
        <v>0</v>
      </c>
      <c r="I51" s="163">
        <v>1372000</v>
      </c>
      <c r="J51" s="163">
        <v>1396500</v>
      </c>
      <c r="K51" s="163">
        <v>0</v>
      </c>
      <c r="L51" s="163">
        <v>0</v>
      </c>
      <c r="M51" s="163">
        <v>0</v>
      </c>
      <c r="N51" s="163">
        <v>0</v>
      </c>
      <c r="O51" s="163">
        <v>15916474</v>
      </c>
      <c r="P51" s="163">
        <v>0</v>
      </c>
      <c r="Q51" s="163">
        <v>0</v>
      </c>
      <c r="R51" s="163">
        <v>0</v>
      </c>
      <c r="S51" s="163">
        <v>0</v>
      </c>
      <c r="T51" s="163">
        <v>160711341</v>
      </c>
      <c r="U51" s="163">
        <v>0</v>
      </c>
      <c r="V51" s="163">
        <v>0</v>
      </c>
      <c r="W51" s="163">
        <v>0</v>
      </c>
      <c r="X51" s="156">
        <f>IFERROR(VLOOKUP(A51,Table7[],2,FALSE),0)</f>
        <v>475622.44529999996</v>
      </c>
      <c r="Y51" s="163">
        <v>0</v>
      </c>
      <c r="Z51" s="163">
        <v>0</v>
      </c>
      <c r="AA51" s="163">
        <v>0</v>
      </c>
      <c r="AB51" s="163">
        <v>0</v>
      </c>
      <c r="AC51" s="163">
        <v>390040</v>
      </c>
      <c r="AD51" s="163">
        <v>1397088</v>
      </c>
      <c r="AE51" s="163">
        <v>205800</v>
      </c>
      <c r="AF51" s="163">
        <v>0</v>
      </c>
      <c r="AG51" s="163">
        <v>0</v>
      </c>
      <c r="AH51" s="163">
        <v>4766328</v>
      </c>
      <c r="AI51" s="164">
        <v>637000</v>
      </c>
      <c r="AJ51" s="141">
        <f t="shared" ref="AJ51" si="42">SUMIF(C52:AI52,"Yes",C51:AI51)</f>
        <v>0</v>
      </c>
      <c r="AK51" s="142">
        <f>AJ51+B51</f>
        <v>160712000</v>
      </c>
    </row>
    <row r="52" spans="1:37" ht="19.5" customHeight="1" x14ac:dyDescent="0.4">
      <c r="A52" s="158"/>
      <c r="B52" s="159"/>
      <c r="C52" s="135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7"/>
      <c r="AJ52" s="144" t="str">
        <f t="shared" ref="AJ52" si="43">IF(COUNTIF(C52:AI52,"Yes")&lt;1,"",CONCATENATE("Count of 'Yes' : ",COUNTIF(C52:AI52,"Yes")))</f>
        <v/>
      </c>
      <c r="AK52" s="143"/>
    </row>
    <row r="53" spans="1:37" x14ac:dyDescent="0.4">
      <c r="A53" s="160" t="s">
        <v>38</v>
      </c>
      <c r="B53" s="161">
        <f>'Step1 - Def and Mod Analysis'!U33</f>
        <v>874615.05725298729</v>
      </c>
      <c r="C53" s="162">
        <v>0</v>
      </c>
      <c r="D53" s="163">
        <v>0</v>
      </c>
      <c r="E53" s="163">
        <v>0</v>
      </c>
      <c r="F53" s="163">
        <v>0</v>
      </c>
      <c r="G53" s="163">
        <v>0</v>
      </c>
      <c r="H53" s="163">
        <v>0</v>
      </c>
      <c r="I53" s="163">
        <v>0</v>
      </c>
      <c r="J53" s="163">
        <v>0</v>
      </c>
      <c r="K53" s="163">
        <v>0</v>
      </c>
      <c r="L53" s="163">
        <v>0</v>
      </c>
      <c r="M53" s="163">
        <v>0</v>
      </c>
      <c r="N53" s="163">
        <v>0</v>
      </c>
      <c r="O53" s="163">
        <v>0</v>
      </c>
      <c r="P53" s="163">
        <v>0</v>
      </c>
      <c r="Q53" s="163">
        <v>0</v>
      </c>
      <c r="R53" s="163">
        <v>0</v>
      </c>
      <c r="S53" s="163">
        <v>0</v>
      </c>
      <c r="T53" s="163">
        <v>0</v>
      </c>
      <c r="U53" s="163">
        <v>0</v>
      </c>
      <c r="V53" s="163">
        <v>0</v>
      </c>
      <c r="W53" s="163">
        <v>0</v>
      </c>
      <c r="X53" s="156">
        <f>IFERROR(VLOOKUP(A53,Table7[],2,FALSE),0)</f>
        <v>402738.86379999999</v>
      </c>
      <c r="Y53" s="163">
        <v>0</v>
      </c>
      <c r="Z53" s="163">
        <v>0</v>
      </c>
      <c r="AA53" s="163">
        <v>0</v>
      </c>
      <c r="AB53" s="163">
        <v>0</v>
      </c>
      <c r="AC53" s="163">
        <v>0</v>
      </c>
      <c r="AD53" s="163">
        <v>0</v>
      </c>
      <c r="AE53" s="163">
        <v>0</v>
      </c>
      <c r="AF53" s="163">
        <v>0</v>
      </c>
      <c r="AG53" s="163">
        <v>0</v>
      </c>
      <c r="AH53" s="163">
        <v>0</v>
      </c>
      <c r="AI53" s="164">
        <v>0</v>
      </c>
      <c r="AJ53" s="141">
        <f t="shared" ref="AJ53" si="44">SUMIF(C54:AI54,"Yes",C53:AI53)</f>
        <v>0</v>
      </c>
      <c r="AK53" s="142">
        <f>AJ53+B53</f>
        <v>874615.05725298729</v>
      </c>
    </row>
    <row r="54" spans="1:37" ht="19.5" customHeight="1" x14ac:dyDescent="0.4">
      <c r="A54" s="158"/>
      <c r="B54" s="159"/>
      <c r="C54" s="135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7"/>
      <c r="AJ54" s="144" t="str">
        <f t="shared" ref="AJ54" si="45">IF(COUNTIF(C54:AI54,"Yes")&lt;1,"",CONCATENATE("Count of 'Yes' : ",COUNTIF(C54:AI54,"Yes")))</f>
        <v/>
      </c>
      <c r="AK54" s="143"/>
    </row>
    <row r="55" spans="1:37" x14ac:dyDescent="0.4">
      <c r="A55" s="160" t="s">
        <v>39</v>
      </c>
      <c r="B55" s="161">
        <f>'Step1 - Def and Mod Analysis'!U34</f>
        <v>6191791.8909950778</v>
      </c>
      <c r="C55" s="162">
        <v>0</v>
      </c>
      <c r="D55" s="163">
        <v>0</v>
      </c>
      <c r="E55" s="163">
        <v>0</v>
      </c>
      <c r="F55" s="163">
        <v>0</v>
      </c>
      <c r="G55" s="163">
        <v>0</v>
      </c>
      <c r="H55" s="163">
        <v>0</v>
      </c>
      <c r="I55" s="163">
        <v>0</v>
      </c>
      <c r="J55" s="163">
        <v>0</v>
      </c>
      <c r="K55" s="163">
        <v>0</v>
      </c>
      <c r="L55" s="163">
        <v>0</v>
      </c>
      <c r="M55" s="163">
        <v>0</v>
      </c>
      <c r="N55" s="163">
        <v>0</v>
      </c>
      <c r="O55" s="163">
        <v>0</v>
      </c>
      <c r="P55" s="163">
        <v>0</v>
      </c>
      <c r="Q55" s="163">
        <v>0</v>
      </c>
      <c r="R55" s="163">
        <v>0</v>
      </c>
      <c r="S55" s="163">
        <v>0</v>
      </c>
      <c r="T55" s="163">
        <v>0</v>
      </c>
      <c r="U55" s="163">
        <v>0</v>
      </c>
      <c r="V55" s="163">
        <v>0</v>
      </c>
      <c r="W55" s="163">
        <v>0</v>
      </c>
      <c r="X55" s="156">
        <f>IFERROR(VLOOKUP(A55,Table7[],2,FALSE),0)</f>
        <v>694426.50328000006</v>
      </c>
      <c r="Y55" s="163">
        <v>0</v>
      </c>
      <c r="Z55" s="163">
        <v>0</v>
      </c>
      <c r="AA55" s="163">
        <v>0</v>
      </c>
      <c r="AB55" s="163">
        <v>0</v>
      </c>
      <c r="AC55" s="163">
        <v>0</v>
      </c>
      <c r="AD55" s="163">
        <v>0</v>
      </c>
      <c r="AE55" s="163">
        <v>0</v>
      </c>
      <c r="AF55" s="163">
        <v>0</v>
      </c>
      <c r="AG55" s="163">
        <v>0</v>
      </c>
      <c r="AH55" s="163">
        <v>0</v>
      </c>
      <c r="AI55" s="164">
        <v>0</v>
      </c>
      <c r="AJ55" s="141">
        <f t="shared" ref="AJ55" si="46">SUMIF(C56:AI56,"Yes",C55:AI55)</f>
        <v>0</v>
      </c>
      <c r="AK55" s="142">
        <f>AJ55+B55</f>
        <v>6191791.8909950778</v>
      </c>
    </row>
    <row r="56" spans="1:37" ht="19.5" customHeight="1" x14ac:dyDescent="0.4">
      <c r="A56" s="158"/>
      <c r="B56" s="159"/>
      <c r="C56" s="135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7"/>
      <c r="AJ56" s="144" t="str">
        <f t="shared" ref="AJ56" si="47">IF(COUNTIF(C56:AI56,"Yes")&lt;1,"",CONCATENATE("Count of 'Yes' : ",COUNTIF(C56:AI56,"Yes")))</f>
        <v/>
      </c>
      <c r="AK56" s="143"/>
    </row>
    <row r="57" spans="1:37" x14ac:dyDescent="0.4">
      <c r="A57" s="160" t="s">
        <v>40</v>
      </c>
      <c r="B57" s="161">
        <f>'Step1 - Def and Mod Analysis'!U35</f>
        <v>0</v>
      </c>
      <c r="C57" s="162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56">
        <f>IFERROR(VLOOKUP(A57,Table7[],2,FALSE),0)</f>
        <v>0</v>
      </c>
      <c r="Y57" s="163"/>
      <c r="Z57" s="163"/>
      <c r="AA57" s="163"/>
      <c r="AB57" s="163"/>
      <c r="AC57" s="163"/>
      <c r="AD57" s="163"/>
      <c r="AE57" s="163"/>
      <c r="AF57" s="163"/>
      <c r="AG57" s="163"/>
      <c r="AH57" s="163"/>
      <c r="AI57" s="164"/>
      <c r="AJ57" s="141">
        <f t="shared" ref="AJ57" si="48">SUMIF(C58:AI58,"Yes",C57:AI57)</f>
        <v>0</v>
      </c>
      <c r="AK57" s="142">
        <f>AJ57+B57</f>
        <v>0</v>
      </c>
    </row>
    <row r="58" spans="1:37" ht="19.5" customHeight="1" x14ac:dyDescent="0.4">
      <c r="A58" s="158"/>
      <c r="B58" s="159"/>
      <c r="C58" s="135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7"/>
      <c r="AJ58" s="144" t="str">
        <f t="shared" ref="AJ58" si="49">IF(COUNTIF(C58:AI58,"Yes")&lt;1,"",CONCATENATE("Count of 'Yes' : ",COUNTIF(C58:AI58,"Yes")))</f>
        <v/>
      </c>
      <c r="AK58" s="143"/>
    </row>
    <row r="59" spans="1:37" x14ac:dyDescent="0.4">
      <c r="A59" s="160" t="s">
        <v>41</v>
      </c>
      <c r="B59" s="161">
        <f>'Step1 - Def and Mod Analysis'!U36</f>
        <v>1901074.7496303672</v>
      </c>
      <c r="C59" s="162">
        <v>0</v>
      </c>
      <c r="D59" s="163">
        <v>0</v>
      </c>
      <c r="E59" s="163">
        <v>0</v>
      </c>
      <c r="F59" s="163">
        <v>0</v>
      </c>
      <c r="G59" s="163">
        <v>0</v>
      </c>
      <c r="H59" s="163">
        <v>0</v>
      </c>
      <c r="I59" s="163">
        <v>0</v>
      </c>
      <c r="J59" s="163">
        <v>0</v>
      </c>
      <c r="K59" s="163">
        <v>0</v>
      </c>
      <c r="L59" s="163">
        <v>0</v>
      </c>
      <c r="M59" s="163">
        <v>0</v>
      </c>
      <c r="N59" s="163">
        <v>0</v>
      </c>
      <c r="O59" s="163">
        <v>0</v>
      </c>
      <c r="P59" s="163">
        <v>0</v>
      </c>
      <c r="Q59" s="163">
        <v>0</v>
      </c>
      <c r="R59" s="163">
        <v>0</v>
      </c>
      <c r="S59" s="163">
        <v>0</v>
      </c>
      <c r="T59" s="163">
        <v>0</v>
      </c>
      <c r="U59" s="163">
        <v>0</v>
      </c>
      <c r="V59" s="163">
        <v>0</v>
      </c>
      <c r="W59" s="163">
        <v>0</v>
      </c>
      <c r="X59" s="156">
        <f>IFERROR(VLOOKUP(A59,Table7[],2,FALSE),0)</f>
        <v>402738.86379999999</v>
      </c>
      <c r="Y59" s="163">
        <v>0</v>
      </c>
      <c r="Z59" s="163">
        <v>0</v>
      </c>
      <c r="AA59" s="163">
        <v>0</v>
      </c>
      <c r="AB59" s="163">
        <v>0</v>
      </c>
      <c r="AC59" s="163">
        <v>0</v>
      </c>
      <c r="AD59" s="163">
        <v>0</v>
      </c>
      <c r="AE59" s="163">
        <v>0</v>
      </c>
      <c r="AF59" s="163">
        <v>0</v>
      </c>
      <c r="AG59" s="163">
        <v>0</v>
      </c>
      <c r="AH59" s="163">
        <v>0</v>
      </c>
      <c r="AI59" s="164">
        <v>0</v>
      </c>
      <c r="AJ59" s="141">
        <f t="shared" ref="AJ59" si="50">SUMIF(C60:AI60,"Yes",C59:AI59)</f>
        <v>0</v>
      </c>
      <c r="AK59" s="142">
        <f>AJ59+B59</f>
        <v>1901074.7496303672</v>
      </c>
    </row>
    <row r="60" spans="1:37" ht="19.5" customHeight="1" x14ac:dyDescent="0.4">
      <c r="A60" s="158"/>
      <c r="B60" s="159"/>
      <c r="C60" s="135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7"/>
      <c r="AJ60" s="144" t="str">
        <f t="shared" ref="AJ60" si="51">IF(COUNTIF(C60:AI60,"Yes")&lt;1,"",CONCATENATE("Count of 'Yes' : ",COUNTIF(C60:AI60,"Yes")))</f>
        <v/>
      </c>
      <c r="AK60" s="143"/>
    </row>
    <row r="61" spans="1:37" x14ac:dyDescent="0.4">
      <c r="A61" s="160" t="s">
        <v>42</v>
      </c>
      <c r="B61" s="161">
        <f>'Step1 - Def and Mod Analysis'!U37</f>
        <v>418689.7205151713</v>
      </c>
      <c r="C61" s="162">
        <v>0</v>
      </c>
      <c r="D61" s="163">
        <v>0</v>
      </c>
      <c r="E61" s="163">
        <v>12348000</v>
      </c>
      <c r="F61" s="163">
        <v>0</v>
      </c>
      <c r="G61" s="163">
        <v>0</v>
      </c>
      <c r="H61" s="163">
        <v>0</v>
      </c>
      <c r="I61" s="163">
        <v>1372000</v>
      </c>
      <c r="J61" s="163">
        <v>0</v>
      </c>
      <c r="K61" s="163">
        <v>0</v>
      </c>
      <c r="L61" s="163">
        <v>0</v>
      </c>
      <c r="M61" s="163">
        <v>0</v>
      </c>
      <c r="N61" s="163">
        <v>0</v>
      </c>
      <c r="O61" s="163">
        <v>0</v>
      </c>
      <c r="P61" s="163">
        <v>0</v>
      </c>
      <c r="Q61" s="163">
        <v>0</v>
      </c>
      <c r="R61" s="163">
        <v>0</v>
      </c>
      <c r="S61" s="163">
        <v>0</v>
      </c>
      <c r="T61" s="163">
        <v>0</v>
      </c>
      <c r="U61" s="163">
        <v>0</v>
      </c>
      <c r="V61" s="163">
        <v>0</v>
      </c>
      <c r="W61" s="163">
        <v>0</v>
      </c>
      <c r="X61" s="156">
        <f>IFERROR(VLOOKUP(A61,Table7[],2,FALSE),0)</f>
        <v>570662.63557599997</v>
      </c>
      <c r="Y61" s="163">
        <v>0</v>
      </c>
      <c r="Z61" s="163">
        <v>0</v>
      </c>
      <c r="AA61" s="163">
        <v>0</v>
      </c>
      <c r="AB61" s="163">
        <v>0</v>
      </c>
      <c r="AC61" s="163">
        <v>0</v>
      </c>
      <c r="AD61" s="163">
        <v>0</v>
      </c>
      <c r="AE61" s="163">
        <v>0</v>
      </c>
      <c r="AF61" s="163">
        <v>0</v>
      </c>
      <c r="AG61" s="163">
        <v>0</v>
      </c>
      <c r="AH61" s="163">
        <v>0</v>
      </c>
      <c r="AI61" s="164">
        <v>0</v>
      </c>
      <c r="AJ61" s="141">
        <f t="shared" ref="AJ61" si="52">SUMIF(C62:AI62,"Yes",C61:AI61)</f>
        <v>0</v>
      </c>
      <c r="AK61" s="142">
        <f>AJ61+B61</f>
        <v>418689.7205151713</v>
      </c>
    </row>
    <row r="62" spans="1:37" ht="19.5" customHeight="1" x14ac:dyDescent="0.4">
      <c r="A62" s="158"/>
      <c r="B62" s="159"/>
      <c r="C62" s="135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7"/>
      <c r="AJ62" s="144" t="str">
        <f t="shared" ref="AJ62" si="53">IF(COUNTIF(C62:AI62,"Yes")&lt;1,"",CONCATENATE("Count of 'Yes' : ",COUNTIF(C62:AI62,"Yes")))</f>
        <v/>
      </c>
      <c r="AK62" s="143"/>
    </row>
    <row r="63" spans="1:37" x14ac:dyDescent="0.4">
      <c r="A63" s="160" t="s">
        <v>43</v>
      </c>
      <c r="B63" s="161">
        <f>'Step1 - Def and Mod Analysis'!U38</f>
        <v>6093362.4720308706</v>
      </c>
      <c r="C63" s="162">
        <v>0</v>
      </c>
      <c r="D63" s="163">
        <v>0</v>
      </c>
      <c r="E63" s="163">
        <v>0</v>
      </c>
      <c r="F63" s="163">
        <v>0</v>
      </c>
      <c r="G63" s="163">
        <v>137200</v>
      </c>
      <c r="H63" s="163">
        <v>0</v>
      </c>
      <c r="I63" s="163">
        <v>0</v>
      </c>
      <c r="J63" s="163">
        <v>0</v>
      </c>
      <c r="K63" s="163">
        <v>0</v>
      </c>
      <c r="L63" s="163">
        <v>0</v>
      </c>
      <c r="M63" s="163">
        <v>0</v>
      </c>
      <c r="N63" s="163">
        <v>0</v>
      </c>
      <c r="O63" s="163">
        <v>0</v>
      </c>
      <c r="P63" s="163">
        <v>0</v>
      </c>
      <c r="Q63" s="163">
        <v>0</v>
      </c>
      <c r="R63" s="163">
        <v>60020368</v>
      </c>
      <c r="S63" s="163">
        <v>0</v>
      </c>
      <c r="T63" s="163">
        <v>0</v>
      </c>
      <c r="U63" s="163">
        <v>0</v>
      </c>
      <c r="V63" s="163">
        <v>0</v>
      </c>
      <c r="W63" s="163">
        <v>0</v>
      </c>
      <c r="X63" s="156">
        <f>IFERROR(VLOOKUP(A63,Table7[],2,FALSE),0)</f>
        <v>448219.69922000001</v>
      </c>
      <c r="Y63" s="163">
        <v>0</v>
      </c>
      <c r="Z63" s="163">
        <v>0</v>
      </c>
      <c r="AA63" s="163">
        <v>0</v>
      </c>
      <c r="AB63" s="163">
        <v>0</v>
      </c>
      <c r="AC63" s="163">
        <v>0</v>
      </c>
      <c r="AD63" s="163">
        <v>1855728</v>
      </c>
      <c r="AE63" s="163">
        <v>205800</v>
      </c>
      <c r="AF63" s="163">
        <v>0</v>
      </c>
      <c r="AG63" s="163">
        <v>0</v>
      </c>
      <c r="AH63" s="163">
        <v>246960</v>
      </c>
      <c r="AI63" s="164">
        <v>0</v>
      </c>
      <c r="AJ63" s="141">
        <f t="shared" ref="AJ63" si="54">SUMIF(C64:AI64,"Yes",C63:AI63)</f>
        <v>0</v>
      </c>
      <c r="AK63" s="142">
        <f>AJ63+B63</f>
        <v>6093362.4720308706</v>
      </c>
    </row>
    <row r="64" spans="1:37" ht="19.5" customHeight="1" x14ac:dyDescent="0.4">
      <c r="A64" s="158"/>
      <c r="B64" s="159"/>
      <c r="C64" s="135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6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7"/>
      <c r="AJ64" s="144" t="str">
        <f t="shared" ref="AJ64" si="55">IF(COUNTIF(C64:AI64,"Yes")&lt;1,"",CONCATENATE("Count of 'Yes' : ",COUNTIF(C64:AI64,"Yes")))</f>
        <v/>
      </c>
      <c r="AK64" s="143"/>
    </row>
    <row r="65" spans="1:37" x14ac:dyDescent="0.4">
      <c r="A65" s="160" t="s">
        <v>44</v>
      </c>
      <c r="B65" s="161">
        <f>'Step1 - Def and Mod Analysis'!U39</f>
        <v>4530991.4150388129</v>
      </c>
      <c r="C65" s="162">
        <v>0</v>
      </c>
      <c r="D65" s="163">
        <v>0</v>
      </c>
      <c r="E65" s="163">
        <v>0</v>
      </c>
      <c r="F65" s="163">
        <v>0</v>
      </c>
      <c r="G65" s="163">
        <v>0</v>
      </c>
      <c r="H65" s="163">
        <v>0</v>
      </c>
      <c r="I65" s="163">
        <v>0</v>
      </c>
      <c r="J65" s="163">
        <v>0</v>
      </c>
      <c r="K65" s="163">
        <v>0</v>
      </c>
      <c r="L65" s="163">
        <v>0</v>
      </c>
      <c r="M65" s="163">
        <v>0</v>
      </c>
      <c r="N65" s="163">
        <v>0</v>
      </c>
      <c r="O65" s="163">
        <v>0</v>
      </c>
      <c r="P65" s="163">
        <v>0</v>
      </c>
      <c r="Q65" s="163">
        <v>0</v>
      </c>
      <c r="R65" s="163">
        <v>0</v>
      </c>
      <c r="S65" s="163">
        <v>0</v>
      </c>
      <c r="T65" s="163">
        <v>0</v>
      </c>
      <c r="U65" s="163">
        <v>0</v>
      </c>
      <c r="V65" s="163">
        <v>0</v>
      </c>
      <c r="W65" s="163">
        <v>0</v>
      </c>
      <c r="X65" s="156">
        <f>IFERROR(VLOOKUP(A65,Table7[],2,FALSE),0)</f>
        <v>50024.508719999998</v>
      </c>
      <c r="Y65" s="163">
        <v>0</v>
      </c>
      <c r="Z65" s="163">
        <v>0</v>
      </c>
      <c r="AA65" s="163">
        <v>0</v>
      </c>
      <c r="AB65" s="163">
        <v>0</v>
      </c>
      <c r="AC65" s="163">
        <v>0</v>
      </c>
      <c r="AD65" s="163">
        <v>0</v>
      </c>
      <c r="AE65" s="163">
        <v>0</v>
      </c>
      <c r="AF65" s="163">
        <v>0</v>
      </c>
      <c r="AG65" s="163">
        <v>0</v>
      </c>
      <c r="AH65" s="163">
        <v>0</v>
      </c>
      <c r="AI65" s="164">
        <v>0</v>
      </c>
      <c r="AJ65" s="141">
        <f t="shared" ref="AJ65" si="56">SUMIF(C66:AI66,"Yes",C65:AI65)</f>
        <v>0</v>
      </c>
      <c r="AK65" s="142">
        <f>AJ65+B65</f>
        <v>4530991.4150388129</v>
      </c>
    </row>
    <row r="66" spans="1:37" ht="19.5" customHeight="1" x14ac:dyDescent="0.4">
      <c r="A66" s="158"/>
      <c r="B66" s="159"/>
      <c r="C66" s="135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7"/>
      <c r="AJ66" s="144" t="str">
        <f t="shared" ref="AJ66" si="57">IF(COUNTIF(C66:AI66,"Yes")&lt;1,"",CONCATENATE("Count of 'Yes' : ",COUNTIF(C66:AI66,"Yes")))</f>
        <v/>
      </c>
      <c r="AK66" s="143"/>
    </row>
    <row r="67" spans="1:37" x14ac:dyDescent="0.4">
      <c r="A67" s="160" t="s">
        <v>45</v>
      </c>
      <c r="B67" s="161">
        <f>'Step1 - Def and Mod Analysis'!U40</f>
        <v>725218.7158322332</v>
      </c>
      <c r="C67" s="162">
        <v>0</v>
      </c>
      <c r="D67" s="163">
        <v>0</v>
      </c>
      <c r="E67" s="163">
        <v>0</v>
      </c>
      <c r="F67" s="163">
        <v>0</v>
      </c>
      <c r="G67" s="163">
        <v>0</v>
      </c>
      <c r="H67" s="163">
        <v>0</v>
      </c>
      <c r="I67" s="163">
        <v>0</v>
      </c>
      <c r="J67" s="163">
        <v>0</v>
      </c>
      <c r="K67" s="163">
        <v>0</v>
      </c>
      <c r="L67" s="163">
        <v>0</v>
      </c>
      <c r="M67" s="163">
        <v>0</v>
      </c>
      <c r="N67" s="163">
        <v>0</v>
      </c>
      <c r="O67" s="163">
        <v>0</v>
      </c>
      <c r="P67" s="163">
        <v>0</v>
      </c>
      <c r="Q67" s="163">
        <v>0</v>
      </c>
      <c r="R67" s="163">
        <v>0</v>
      </c>
      <c r="S67" s="163">
        <v>0</v>
      </c>
      <c r="T67" s="163">
        <v>0</v>
      </c>
      <c r="U67" s="163">
        <v>0</v>
      </c>
      <c r="V67" s="163">
        <v>0</v>
      </c>
      <c r="W67" s="163">
        <v>0</v>
      </c>
      <c r="X67" s="156">
        <f>IFERROR(VLOOKUP(A67,Table7[],2,FALSE),0)</f>
        <v>179210.28924000001</v>
      </c>
      <c r="Y67" s="163">
        <v>0</v>
      </c>
      <c r="Z67" s="163">
        <v>0</v>
      </c>
      <c r="AA67" s="163">
        <v>0</v>
      </c>
      <c r="AB67" s="163">
        <v>0</v>
      </c>
      <c r="AC67" s="163">
        <v>0</v>
      </c>
      <c r="AD67" s="163">
        <v>0</v>
      </c>
      <c r="AE67" s="163">
        <v>0</v>
      </c>
      <c r="AF67" s="163">
        <v>0</v>
      </c>
      <c r="AG67" s="163">
        <v>0</v>
      </c>
      <c r="AH67" s="163">
        <v>0</v>
      </c>
      <c r="AI67" s="164">
        <v>0</v>
      </c>
      <c r="AJ67" s="141">
        <f t="shared" ref="AJ67" si="58">SUMIF(C68:AI68,"Yes",C67:AI67)</f>
        <v>0</v>
      </c>
      <c r="AK67" s="142">
        <f>AJ67+B67</f>
        <v>725218.7158322332</v>
      </c>
    </row>
    <row r="68" spans="1:37" ht="19.5" customHeight="1" x14ac:dyDescent="0.4">
      <c r="A68" s="158"/>
      <c r="B68" s="159"/>
      <c r="C68" s="135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7"/>
      <c r="AJ68" s="144" t="str">
        <f t="shared" ref="AJ68" si="59">IF(COUNTIF(C68:AI68,"Yes")&lt;1,"",CONCATENATE("Count of 'Yes' : ",COUNTIF(C68:AI68,"Yes")))</f>
        <v/>
      </c>
      <c r="AK68" s="143"/>
    </row>
    <row r="69" spans="1:37" x14ac:dyDescent="0.4">
      <c r="A69" s="160" t="s">
        <v>46</v>
      </c>
      <c r="B69" s="161">
        <f>'Step1 - Def and Mod Analysis'!U41</f>
        <v>6405631.5106386561</v>
      </c>
      <c r="C69" s="162">
        <v>0</v>
      </c>
      <c r="D69" s="163">
        <v>0</v>
      </c>
      <c r="E69" s="163">
        <v>4508000</v>
      </c>
      <c r="F69" s="163">
        <v>0</v>
      </c>
      <c r="G69" s="163">
        <v>0</v>
      </c>
      <c r="H69" s="163">
        <v>0</v>
      </c>
      <c r="I69" s="163">
        <v>0</v>
      </c>
      <c r="J69" s="163">
        <v>0</v>
      </c>
      <c r="K69" s="163">
        <v>3684800</v>
      </c>
      <c r="L69" s="163">
        <v>0</v>
      </c>
      <c r="M69" s="163">
        <v>0</v>
      </c>
      <c r="N69" s="163">
        <v>0</v>
      </c>
      <c r="O69" s="163">
        <v>0</v>
      </c>
      <c r="P69" s="163">
        <v>0</v>
      </c>
      <c r="Q69" s="163">
        <v>0</v>
      </c>
      <c r="R69" s="163">
        <v>0</v>
      </c>
      <c r="S69" s="163">
        <v>0</v>
      </c>
      <c r="T69" s="163">
        <v>0</v>
      </c>
      <c r="U69" s="163">
        <v>0</v>
      </c>
      <c r="V69" s="163">
        <v>0</v>
      </c>
      <c r="W69" s="163">
        <v>0</v>
      </c>
      <c r="X69" s="156">
        <f>IFERROR(VLOOKUP(A69,Table7[],2,FALSE),0)</f>
        <v>1613924.1246719998</v>
      </c>
      <c r="Y69" s="163">
        <v>0</v>
      </c>
      <c r="Z69" s="163">
        <v>0</v>
      </c>
      <c r="AA69" s="163">
        <v>0</v>
      </c>
      <c r="AB69" s="163">
        <v>0</v>
      </c>
      <c r="AC69" s="163">
        <v>390040</v>
      </c>
      <c r="AD69" s="163">
        <v>0</v>
      </c>
      <c r="AE69" s="163">
        <v>0</v>
      </c>
      <c r="AF69" s="163">
        <v>0</v>
      </c>
      <c r="AG69" s="163">
        <v>0</v>
      </c>
      <c r="AH69" s="163">
        <v>0</v>
      </c>
      <c r="AI69" s="164">
        <v>0</v>
      </c>
      <c r="AJ69" s="141">
        <f t="shared" ref="AJ69" si="60">SUMIF(C70:AI70,"Yes",C69:AI69)</f>
        <v>0</v>
      </c>
      <c r="AK69" s="142">
        <f>AJ69+B69</f>
        <v>6405631.5106386561</v>
      </c>
    </row>
    <row r="70" spans="1:37" ht="19.5" customHeight="1" x14ac:dyDescent="0.4">
      <c r="A70" s="158"/>
      <c r="B70" s="159"/>
      <c r="C70" s="135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7"/>
      <c r="AJ70" s="144" t="str">
        <f t="shared" ref="AJ70" si="61">IF(COUNTIF(C70:AI70,"Yes")&lt;1,"",CONCATENATE("Count of 'Yes' : ",COUNTIF(C70:AI70,"Yes")))</f>
        <v/>
      </c>
      <c r="AK70" s="143"/>
    </row>
    <row r="71" spans="1:37" x14ac:dyDescent="0.4">
      <c r="A71" s="160" t="s">
        <v>47</v>
      </c>
      <c r="B71" s="161">
        <f>'Step1 - Def and Mod Analysis'!U42</f>
        <v>1749557.0676928568</v>
      </c>
      <c r="C71" s="162">
        <v>0</v>
      </c>
      <c r="D71" s="163">
        <v>0</v>
      </c>
      <c r="E71" s="163">
        <v>0</v>
      </c>
      <c r="F71" s="163">
        <v>0</v>
      </c>
      <c r="G71" s="163">
        <v>0</v>
      </c>
      <c r="H71" s="163">
        <v>0</v>
      </c>
      <c r="I71" s="163">
        <v>0</v>
      </c>
      <c r="J71" s="163">
        <v>0</v>
      </c>
      <c r="K71" s="163">
        <v>0</v>
      </c>
      <c r="L71" s="163">
        <v>0</v>
      </c>
      <c r="M71" s="163">
        <v>0</v>
      </c>
      <c r="N71" s="163">
        <v>0</v>
      </c>
      <c r="O71" s="163">
        <v>0</v>
      </c>
      <c r="P71" s="163">
        <v>0</v>
      </c>
      <c r="Q71" s="163">
        <v>0</v>
      </c>
      <c r="R71" s="163">
        <v>0</v>
      </c>
      <c r="S71" s="163">
        <v>0</v>
      </c>
      <c r="T71" s="163">
        <v>0</v>
      </c>
      <c r="U71" s="163">
        <v>0</v>
      </c>
      <c r="V71" s="163">
        <v>0</v>
      </c>
      <c r="W71" s="163">
        <v>0</v>
      </c>
      <c r="X71" s="156">
        <f>IFERROR(VLOOKUP(A71,Table7[],2,FALSE),0)</f>
        <v>393778.76355999999</v>
      </c>
      <c r="Y71" s="163">
        <v>0</v>
      </c>
      <c r="Z71" s="163">
        <v>0</v>
      </c>
      <c r="AA71" s="163">
        <v>0</v>
      </c>
      <c r="AB71" s="163">
        <v>0</v>
      </c>
      <c r="AC71" s="163">
        <v>0</v>
      </c>
      <c r="AD71" s="163">
        <v>0</v>
      </c>
      <c r="AE71" s="163">
        <v>0</v>
      </c>
      <c r="AF71" s="163">
        <v>0</v>
      </c>
      <c r="AG71" s="163">
        <v>0</v>
      </c>
      <c r="AH71" s="163">
        <v>0</v>
      </c>
      <c r="AI71" s="164">
        <v>0</v>
      </c>
      <c r="AJ71" s="141">
        <f t="shared" ref="AJ71" si="62">SUMIF(C72:AI72,"Yes",C71:AI71)</f>
        <v>0</v>
      </c>
      <c r="AK71" s="142">
        <f>AJ71+B71</f>
        <v>1749557.0676928568</v>
      </c>
    </row>
    <row r="72" spans="1:37" ht="19.5" customHeight="1" x14ac:dyDescent="0.4">
      <c r="A72" s="158"/>
      <c r="B72" s="159"/>
      <c r="C72" s="135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7"/>
      <c r="AJ72" s="144" t="str">
        <f t="shared" ref="AJ72" si="63">IF(COUNTIF(C72:AI72,"Yes")&lt;1,"",CONCATENATE("Count of 'Yes' : ",COUNTIF(C72:AI72,"Yes")))</f>
        <v/>
      </c>
      <c r="AK72" s="143"/>
    </row>
    <row r="73" spans="1:37" x14ac:dyDescent="0.4">
      <c r="A73" s="160" t="s">
        <v>48</v>
      </c>
      <c r="B73" s="161">
        <f>'Step1 - Def and Mod Analysis'!U43</f>
        <v>4443079.5716582164</v>
      </c>
      <c r="C73" s="162">
        <v>0</v>
      </c>
      <c r="D73" s="163">
        <v>0</v>
      </c>
      <c r="E73" s="163">
        <v>0</v>
      </c>
      <c r="F73" s="163">
        <v>0</v>
      </c>
      <c r="G73" s="163">
        <v>137200</v>
      </c>
      <c r="H73" s="163">
        <v>0</v>
      </c>
      <c r="I73" s="163">
        <v>0</v>
      </c>
      <c r="J73" s="163">
        <v>0</v>
      </c>
      <c r="K73" s="163">
        <v>0</v>
      </c>
      <c r="L73" s="163">
        <v>0</v>
      </c>
      <c r="M73" s="163">
        <v>0</v>
      </c>
      <c r="N73" s="163">
        <v>0</v>
      </c>
      <c r="O73" s="163">
        <v>0</v>
      </c>
      <c r="P73" s="163">
        <v>0</v>
      </c>
      <c r="Q73" s="163">
        <v>0</v>
      </c>
      <c r="R73" s="163">
        <v>0</v>
      </c>
      <c r="S73" s="163">
        <v>0</v>
      </c>
      <c r="T73" s="163">
        <v>0</v>
      </c>
      <c r="U73" s="163">
        <v>0</v>
      </c>
      <c r="V73" s="163">
        <v>0</v>
      </c>
      <c r="W73" s="163">
        <v>0</v>
      </c>
      <c r="X73" s="156">
        <f>IFERROR(VLOOKUP(A73,Table7[],2,FALSE),0)</f>
        <v>303641.78175999998</v>
      </c>
      <c r="Y73" s="163">
        <v>0</v>
      </c>
      <c r="Z73" s="163">
        <v>0</v>
      </c>
      <c r="AA73" s="163">
        <v>0</v>
      </c>
      <c r="AB73" s="163">
        <v>0</v>
      </c>
      <c r="AC73" s="163">
        <v>0</v>
      </c>
      <c r="AD73" s="163">
        <v>1792224</v>
      </c>
      <c r="AE73" s="163">
        <v>0</v>
      </c>
      <c r="AF73" s="163">
        <v>0</v>
      </c>
      <c r="AG73" s="163">
        <v>0</v>
      </c>
      <c r="AH73" s="163">
        <v>0</v>
      </c>
      <c r="AI73" s="164">
        <v>0</v>
      </c>
      <c r="AJ73" s="141">
        <f t="shared" ref="AJ73" si="64">SUMIF(C74:AI74,"Yes",C73:AI73)</f>
        <v>0</v>
      </c>
      <c r="AK73" s="142">
        <f>AJ73+B73</f>
        <v>4443079.5716582164</v>
      </c>
    </row>
    <row r="74" spans="1:37" ht="19.5" customHeight="1" x14ac:dyDescent="0.4">
      <c r="A74" s="158"/>
      <c r="B74" s="159"/>
      <c r="C74" s="135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7"/>
      <c r="AJ74" s="144" t="str">
        <f t="shared" ref="AJ74" si="65">IF(COUNTIF(C74:AI74,"Yes")&lt;1,"",CONCATENATE("Count of 'Yes' : ",COUNTIF(C74:AI74,"Yes")))</f>
        <v/>
      </c>
      <c r="AK74" s="143"/>
    </row>
    <row r="75" spans="1:37" x14ac:dyDescent="0.4">
      <c r="A75" s="160" t="s">
        <v>49</v>
      </c>
      <c r="B75" s="161">
        <f>'Step1 - Def and Mod Analysis'!U44</f>
        <v>761366.26314451022</v>
      </c>
      <c r="C75" s="162">
        <v>0</v>
      </c>
      <c r="D75" s="163">
        <v>0</v>
      </c>
      <c r="E75" s="163">
        <v>0</v>
      </c>
      <c r="F75" s="163">
        <v>0</v>
      </c>
      <c r="G75" s="163">
        <v>137200</v>
      </c>
      <c r="H75" s="163">
        <v>0</v>
      </c>
      <c r="I75" s="163">
        <v>0</v>
      </c>
      <c r="J75" s="163">
        <v>0</v>
      </c>
      <c r="K75" s="163">
        <v>0</v>
      </c>
      <c r="L75" s="163">
        <v>0</v>
      </c>
      <c r="M75" s="163">
        <v>0</v>
      </c>
      <c r="N75" s="163">
        <v>0</v>
      </c>
      <c r="O75" s="163">
        <v>0</v>
      </c>
      <c r="P75" s="163">
        <v>0</v>
      </c>
      <c r="Q75" s="163">
        <v>0</v>
      </c>
      <c r="R75" s="163">
        <v>0</v>
      </c>
      <c r="S75" s="163">
        <v>0</v>
      </c>
      <c r="T75" s="163">
        <v>0</v>
      </c>
      <c r="U75" s="163">
        <v>0</v>
      </c>
      <c r="V75" s="163">
        <v>0</v>
      </c>
      <c r="W75" s="163">
        <v>0</v>
      </c>
      <c r="X75" s="156">
        <f>IFERROR(VLOOKUP(A75,Table7[],2,FALSE),0)</f>
        <v>467029.72900000005</v>
      </c>
      <c r="Y75" s="163">
        <v>0</v>
      </c>
      <c r="Z75" s="163">
        <v>0</v>
      </c>
      <c r="AA75" s="163">
        <v>0</v>
      </c>
      <c r="AB75" s="163">
        <v>0</v>
      </c>
      <c r="AC75" s="163">
        <v>0</v>
      </c>
      <c r="AD75" s="163">
        <v>0</v>
      </c>
      <c r="AE75" s="163">
        <v>0</v>
      </c>
      <c r="AF75" s="163">
        <v>0</v>
      </c>
      <c r="AG75" s="163">
        <v>0</v>
      </c>
      <c r="AH75" s="163">
        <v>0</v>
      </c>
      <c r="AI75" s="164">
        <v>0</v>
      </c>
      <c r="AJ75" s="141">
        <f t="shared" ref="AJ75" si="66">SUMIF(C76:AI76,"Yes",C75:AI75)</f>
        <v>0</v>
      </c>
      <c r="AK75" s="142">
        <f>AJ75+B75</f>
        <v>761366.26314451022</v>
      </c>
    </row>
    <row r="76" spans="1:37" ht="19.5" customHeight="1" x14ac:dyDescent="0.4">
      <c r="A76" s="158"/>
      <c r="B76" s="159"/>
      <c r="C76" s="135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7"/>
      <c r="AJ76" s="144" t="str">
        <f t="shared" ref="AJ76" si="67">IF(COUNTIF(C76:AI76,"Yes")&lt;1,"",CONCATENATE("Count of 'Yes' : ",COUNTIF(C76:AI76,"Yes")))</f>
        <v/>
      </c>
      <c r="AK76" s="143"/>
    </row>
    <row r="77" spans="1:37" x14ac:dyDescent="0.4">
      <c r="A77" s="160" t="s">
        <v>50</v>
      </c>
      <c r="B77" s="161">
        <f>'Step1 - Def and Mod Analysis'!U45</f>
        <v>35687000</v>
      </c>
      <c r="C77" s="162">
        <v>7840000</v>
      </c>
      <c r="D77" s="163">
        <v>0</v>
      </c>
      <c r="E77" s="163">
        <v>0</v>
      </c>
      <c r="F77" s="163">
        <v>123480</v>
      </c>
      <c r="G77" s="163">
        <v>137200</v>
      </c>
      <c r="H77" s="163">
        <v>0</v>
      </c>
      <c r="I77" s="163">
        <v>0</v>
      </c>
      <c r="J77" s="163">
        <v>0</v>
      </c>
      <c r="K77" s="163">
        <v>0</v>
      </c>
      <c r="L77" s="163">
        <v>0</v>
      </c>
      <c r="M77" s="163">
        <v>0</v>
      </c>
      <c r="N77" s="163">
        <v>0</v>
      </c>
      <c r="O77" s="163">
        <v>0</v>
      </c>
      <c r="P77" s="163">
        <v>0</v>
      </c>
      <c r="Q77" s="163">
        <v>0</v>
      </c>
      <c r="R77" s="163">
        <v>0</v>
      </c>
      <c r="S77" s="163">
        <v>0</v>
      </c>
      <c r="T77" s="163">
        <v>35687050</v>
      </c>
      <c r="U77" s="163">
        <v>0</v>
      </c>
      <c r="V77" s="163">
        <v>0</v>
      </c>
      <c r="W77" s="163">
        <v>0</v>
      </c>
      <c r="X77" s="156">
        <f>IFERROR(VLOOKUP(A77,Table7[],2,FALSE),0)</f>
        <v>793548.1741200001</v>
      </c>
      <c r="Y77" s="163">
        <v>0</v>
      </c>
      <c r="Z77" s="163">
        <v>0</v>
      </c>
      <c r="AA77" s="163">
        <v>0</v>
      </c>
      <c r="AB77" s="163">
        <v>0</v>
      </c>
      <c r="AC77" s="163">
        <v>390040</v>
      </c>
      <c r="AD77" s="163">
        <v>2667168</v>
      </c>
      <c r="AE77" s="163">
        <v>0</v>
      </c>
      <c r="AF77" s="163">
        <v>0</v>
      </c>
      <c r="AG77" s="163">
        <v>0</v>
      </c>
      <c r="AH77" s="163">
        <v>7322364</v>
      </c>
      <c r="AI77" s="164">
        <v>415000</v>
      </c>
      <c r="AJ77" s="141">
        <f t="shared" ref="AJ77" si="68">SUMIF(C78:AI78,"Yes",C77:AI77)</f>
        <v>0</v>
      </c>
      <c r="AK77" s="142">
        <f>AJ77+B77</f>
        <v>35687000</v>
      </c>
    </row>
    <row r="78" spans="1:37" ht="19.5" customHeight="1" x14ac:dyDescent="0.4">
      <c r="A78" s="158"/>
      <c r="B78" s="159"/>
      <c r="C78" s="135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7"/>
      <c r="AJ78" s="144" t="str">
        <f t="shared" ref="AJ78" si="69">IF(COUNTIF(C78:AI78,"Yes")&lt;1,"",CONCATENATE("Count of 'Yes' : ",COUNTIF(C78:AI78,"Yes")))</f>
        <v/>
      </c>
      <c r="AK78" s="143"/>
    </row>
    <row r="79" spans="1:37" x14ac:dyDescent="0.4">
      <c r="A79" s="160" t="s">
        <v>51</v>
      </c>
      <c r="B79" s="161">
        <f>'Step1 - Def and Mod Analysis'!U46</f>
        <v>0</v>
      </c>
      <c r="C79" s="162">
        <v>0</v>
      </c>
      <c r="D79" s="163">
        <v>0</v>
      </c>
      <c r="E79" s="163">
        <v>0</v>
      </c>
      <c r="F79" s="163">
        <v>0</v>
      </c>
      <c r="G79" s="163">
        <v>0</v>
      </c>
      <c r="H79" s="163">
        <v>0</v>
      </c>
      <c r="I79" s="163">
        <v>0</v>
      </c>
      <c r="J79" s="163">
        <v>0</v>
      </c>
      <c r="K79" s="163">
        <v>0</v>
      </c>
      <c r="L79" s="163">
        <v>0</v>
      </c>
      <c r="M79" s="163">
        <v>0</v>
      </c>
      <c r="N79" s="163">
        <v>0</v>
      </c>
      <c r="O79" s="163">
        <v>0</v>
      </c>
      <c r="P79" s="163">
        <v>0</v>
      </c>
      <c r="Q79" s="163">
        <v>0</v>
      </c>
      <c r="R79" s="163">
        <v>0</v>
      </c>
      <c r="S79" s="163">
        <v>0</v>
      </c>
      <c r="T79" s="163">
        <v>0</v>
      </c>
      <c r="U79" s="163">
        <v>0</v>
      </c>
      <c r="V79" s="163">
        <v>0</v>
      </c>
      <c r="W79" s="163">
        <v>0</v>
      </c>
      <c r="X79" s="156">
        <f>IFERROR(VLOOKUP(A79,Table7[],2,FALSE),0)</f>
        <v>0</v>
      </c>
      <c r="Y79" s="163">
        <v>0</v>
      </c>
      <c r="Z79" s="163">
        <v>0</v>
      </c>
      <c r="AA79" s="163">
        <v>0</v>
      </c>
      <c r="AB79" s="163">
        <v>0</v>
      </c>
      <c r="AC79" s="163">
        <v>0</v>
      </c>
      <c r="AD79" s="163">
        <v>0</v>
      </c>
      <c r="AE79" s="163">
        <v>0</v>
      </c>
      <c r="AF79" s="163">
        <v>0</v>
      </c>
      <c r="AG79" s="163">
        <v>0</v>
      </c>
      <c r="AH79" s="163">
        <v>0</v>
      </c>
      <c r="AI79" s="164">
        <v>0</v>
      </c>
      <c r="AJ79" s="141">
        <f t="shared" ref="AJ79" si="70">SUMIF(C80:AI80,"Yes",C79:AI79)</f>
        <v>0</v>
      </c>
      <c r="AK79" s="142">
        <f>AJ79+B79</f>
        <v>0</v>
      </c>
    </row>
    <row r="80" spans="1:37" ht="19.5" customHeight="1" x14ac:dyDescent="0.4">
      <c r="A80" s="158"/>
      <c r="B80" s="159"/>
      <c r="C80" s="135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  <c r="W80" s="136"/>
      <c r="X80" s="136"/>
      <c r="Y80" s="136"/>
      <c r="Z80" s="136"/>
      <c r="AA80" s="136"/>
      <c r="AB80" s="136"/>
      <c r="AC80" s="136"/>
      <c r="AD80" s="136"/>
      <c r="AE80" s="136"/>
      <c r="AF80" s="136"/>
      <c r="AG80" s="136"/>
      <c r="AH80" s="136"/>
      <c r="AI80" s="137"/>
      <c r="AJ80" s="144" t="str">
        <f t="shared" ref="AJ80" si="71">IF(COUNTIF(C80:AI80,"Yes")&lt;1,"",CONCATENATE("Count of 'Yes' : ",COUNTIF(C80:AI80,"Yes")))</f>
        <v/>
      </c>
      <c r="AK80" s="143"/>
    </row>
    <row r="81" spans="1:37" x14ac:dyDescent="0.4">
      <c r="A81" s="160" t="s">
        <v>125</v>
      </c>
      <c r="B81" s="161">
        <f>'Step1 - Def and Mod Analysis'!U47</f>
        <v>0</v>
      </c>
      <c r="C81" s="162">
        <v>0</v>
      </c>
      <c r="D81" s="163">
        <v>0</v>
      </c>
      <c r="E81" s="163">
        <v>0</v>
      </c>
      <c r="F81" s="163">
        <v>0</v>
      </c>
      <c r="G81" s="163">
        <v>137200</v>
      </c>
      <c r="H81" s="163">
        <v>0</v>
      </c>
      <c r="I81" s="163">
        <v>0</v>
      </c>
      <c r="J81" s="163">
        <v>0</v>
      </c>
      <c r="K81" s="163">
        <v>9157120</v>
      </c>
      <c r="L81" s="163">
        <v>0</v>
      </c>
      <c r="M81" s="163">
        <v>0</v>
      </c>
      <c r="N81" s="163">
        <v>0</v>
      </c>
      <c r="O81" s="163">
        <v>0</v>
      </c>
      <c r="P81" s="163">
        <v>0</v>
      </c>
      <c r="Q81" s="163">
        <v>0</v>
      </c>
      <c r="R81" s="163">
        <v>0</v>
      </c>
      <c r="S81" s="163">
        <v>0</v>
      </c>
      <c r="T81" s="163">
        <v>0</v>
      </c>
      <c r="U81" s="163">
        <v>0</v>
      </c>
      <c r="V81" s="163">
        <v>0</v>
      </c>
      <c r="W81" s="163">
        <v>0</v>
      </c>
      <c r="X81" s="156">
        <f>IFERROR(VLOOKUP(A81,Table7[],2,FALSE),0)</f>
        <v>0</v>
      </c>
      <c r="Y81" s="163">
        <v>0</v>
      </c>
      <c r="Z81" s="163">
        <v>0</v>
      </c>
      <c r="AA81" s="163">
        <v>0</v>
      </c>
      <c r="AB81" s="163">
        <v>0</v>
      </c>
      <c r="AC81" s="163">
        <v>390040</v>
      </c>
      <c r="AD81" s="163">
        <v>0</v>
      </c>
      <c r="AE81" s="163">
        <v>0</v>
      </c>
      <c r="AF81" s="163">
        <v>0</v>
      </c>
      <c r="AG81" s="163">
        <v>0</v>
      </c>
      <c r="AH81" s="163">
        <v>0</v>
      </c>
      <c r="AI81" s="164">
        <v>112564670</v>
      </c>
      <c r="AJ81" s="141">
        <f t="shared" ref="AJ81" si="72">SUMIF(C82:AI82,"Yes",C81:AI81)</f>
        <v>0</v>
      </c>
      <c r="AK81" s="142">
        <f>AJ81+B81</f>
        <v>0</v>
      </c>
    </row>
    <row r="82" spans="1:37" ht="19.5" customHeight="1" x14ac:dyDescent="0.4">
      <c r="A82" s="158"/>
      <c r="B82" s="159"/>
      <c r="C82" s="135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  <c r="W82" s="136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7"/>
      <c r="AJ82" s="144" t="str">
        <f t="shared" ref="AJ82" si="73">IF(COUNTIF(C82:AI82,"Yes")&lt;1,"",CONCATENATE("Count of 'Yes' : ",COUNTIF(C82:AI82,"Yes")))</f>
        <v/>
      </c>
      <c r="AK82" s="143"/>
    </row>
    <row r="83" spans="1:37" x14ac:dyDescent="0.4">
      <c r="A83" s="160" t="s">
        <v>52</v>
      </c>
      <c r="B83" s="161">
        <f>'Step1 - Def and Mod Analysis'!U48</f>
        <v>5836085.0229321141</v>
      </c>
      <c r="C83" s="162">
        <v>0</v>
      </c>
      <c r="D83" s="163">
        <v>0</v>
      </c>
      <c r="E83" s="163">
        <v>0</v>
      </c>
      <c r="F83" s="163">
        <v>0</v>
      </c>
      <c r="G83" s="163">
        <v>137200</v>
      </c>
      <c r="H83" s="163">
        <v>4795140</v>
      </c>
      <c r="I83" s="163">
        <v>0</v>
      </c>
      <c r="J83" s="163">
        <v>0</v>
      </c>
      <c r="K83" s="163">
        <v>0</v>
      </c>
      <c r="L83" s="163">
        <v>0</v>
      </c>
      <c r="M83" s="163">
        <v>0</v>
      </c>
      <c r="N83" s="163">
        <v>0</v>
      </c>
      <c r="O83" s="163">
        <v>0</v>
      </c>
      <c r="P83" s="163">
        <v>0</v>
      </c>
      <c r="Q83" s="163">
        <v>0</v>
      </c>
      <c r="R83" s="163">
        <v>46021767</v>
      </c>
      <c r="S83" s="163">
        <v>0</v>
      </c>
      <c r="T83" s="163">
        <v>0</v>
      </c>
      <c r="U83" s="163">
        <v>0</v>
      </c>
      <c r="V83" s="163">
        <v>0</v>
      </c>
      <c r="W83" s="163">
        <v>0</v>
      </c>
      <c r="X83" s="156">
        <f>IFERROR(VLOOKUP(A83,Table7[],2,FALSE),0)</f>
        <v>443553.66943999997</v>
      </c>
      <c r="Y83" s="163">
        <v>0</v>
      </c>
      <c r="Z83" s="163">
        <v>0</v>
      </c>
      <c r="AA83" s="163">
        <v>0</v>
      </c>
      <c r="AB83" s="163">
        <v>0</v>
      </c>
      <c r="AC83" s="163">
        <v>0</v>
      </c>
      <c r="AD83" s="163">
        <v>0</v>
      </c>
      <c r="AE83" s="163">
        <v>0</v>
      </c>
      <c r="AF83" s="163">
        <v>47040</v>
      </c>
      <c r="AG83" s="163">
        <v>0</v>
      </c>
      <c r="AH83" s="163">
        <v>0</v>
      </c>
      <c r="AI83" s="164">
        <v>519400</v>
      </c>
      <c r="AJ83" s="141">
        <f t="shared" ref="AJ83" si="74">SUMIF(C84:AI84,"Yes",C83:AI83)</f>
        <v>0</v>
      </c>
      <c r="AK83" s="142">
        <f>AJ83+B83</f>
        <v>5836085.0229321141</v>
      </c>
    </row>
    <row r="84" spans="1:37" ht="19.5" customHeight="1" x14ac:dyDescent="0.4">
      <c r="A84" s="158"/>
      <c r="B84" s="159"/>
      <c r="C84" s="135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  <c r="AF84" s="136"/>
      <c r="AG84" s="136"/>
      <c r="AH84" s="136"/>
      <c r="AI84" s="137"/>
      <c r="AJ84" s="144" t="str">
        <f t="shared" ref="AJ84" si="75">IF(COUNTIF(C84:AI84,"Yes")&lt;1,"",CONCATENATE("Count of 'Yes' : ",COUNTIF(C84:AI84,"Yes")))</f>
        <v/>
      </c>
      <c r="AK84" s="143"/>
    </row>
    <row r="85" spans="1:37" x14ac:dyDescent="0.4">
      <c r="A85" s="160" t="s">
        <v>0</v>
      </c>
      <c r="B85" s="161">
        <f>'Step1 - Def and Mod Analysis'!U49</f>
        <v>10200036.425393362</v>
      </c>
      <c r="C85" s="162">
        <v>5880000</v>
      </c>
      <c r="D85" s="163">
        <v>0</v>
      </c>
      <c r="E85" s="163">
        <v>0</v>
      </c>
      <c r="F85" s="163">
        <v>123480</v>
      </c>
      <c r="G85" s="163">
        <v>137200</v>
      </c>
      <c r="H85" s="163">
        <v>0</v>
      </c>
      <c r="I85" s="163">
        <v>0</v>
      </c>
      <c r="J85" s="163">
        <v>0</v>
      </c>
      <c r="K85" s="163">
        <v>0</v>
      </c>
      <c r="L85" s="163">
        <v>0</v>
      </c>
      <c r="M85" s="163">
        <v>0</v>
      </c>
      <c r="N85" s="163">
        <v>0</v>
      </c>
      <c r="O85" s="163">
        <v>0</v>
      </c>
      <c r="P85" s="163">
        <v>0</v>
      </c>
      <c r="Q85" s="163">
        <v>0</v>
      </c>
      <c r="R85" s="163">
        <v>0</v>
      </c>
      <c r="S85" s="163">
        <v>0</v>
      </c>
      <c r="T85" s="163">
        <v>105381163</v>
      </c>
      <c r="U85" s="163">
        <v>0</v>
      </c>
      <c r="V85" s="163">
        <v>0</v>
      </c>
      <c r="W85" s="163">
        <v>0</v>
      </c>
      <c r="X85" s="156">
        <f>IFERROR(VLOOKUP(A85,Table7[],2,FALSE),0)</f>
        <v>179210.28924000001</v>
      </c>
      <c r="Y85" s="163">
        <v>0</v>
      </c>
      <c r="Z85" s="163">
        <v>0</v>
      </c>
      <c r="AA85" s="163">
        <v>0</v>
      </c>
      <c r="AB85" s="163">
        <v>0</v>
      </c>
      <c r="AC85" s="163">
        <v>0</v>
      </c>
      <c r="AD85" s="163">
        <v>0</v>
      </c>
      <c r="AE85" s="163">
        <v>205800</v>
      </c>
      <c r="AF85" s="163">
        <v>0</v>
      </c>
      <c r="AG85" s="163">
        <v>0</v>
      </c>
      <c r="AH85" s="163">
        <v>0</v>
      </c>
      <c r="AI85" s="164">
        <v>4111884</v>
      </c>
      <c r="AJ85" s="141">
        <f t="shared" ref="AJ85" si="76">SUMIF(C86:AI86,"Yes",C85:AI85)</f>
        <v>0</v>
      </c>
      <c r="AK85" s="142">
        <f>AJ85+B85</f>
        <v>10200036.425393362</v>
      </c>
    </row>
    <row r="86" spans="1:37" ht="19.5" customHeight="1" x14ac:dyDescent="0.4">
      <c r="A86" s="158"/>
      <c r="B86" s="159"/>
      <c r="C86" s="135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7"/>
      <c r="AJ86" s="144" t="str">
        <f t="shared" ref="AJ86" si="77">IF(COUNTIF(C86:AI86,"Yes")&lt;1,"",CONCATENATE("Count of 'Yes' : ",COUNTIF(C86:AI86,"Yes")))</f>
        <v/>
      </c>
      <c r="AK86" s="143"/>
    </row>
    <row r="87" spans="1:37" x14ac:dyDescent="0.4">
      <c r="A87" s="160" t="s">
        <v>53</v>
      </c>
      <c r="B87" s="161">
        <f>'Step1 - Def and Mod Analysis'!U50</f>
        <v>1355295.1245173174</v>
      </c>
      <c r="C87" s="162">
        <v>0</v>
      </c>
      <c r="D87" s="163">
        <v>0</v>
      </c>
      <c r="E87" s="163">
        <v>0</v>
      </c>
      <c r="F87" s="163">
        <v>0</v>
      </c>
      <c r="G87" s="163">
        <v>0</v>
      </c>
      <c r="H87" s="163">
        <v>0</v>
      </c>
      <c r="I87" s="163">
        <v>0</v>
      </c>
      <c r="J87" s="163">
        <v>0</v>
      </c>
      <c r="K87" s="163">
        <v>0</v>
      </c>
      <c r="L87" s="163">
        <v>0</v>
      </c>
      <c r="M87" s="163">
        <v>0</v>
      </c>
      <c r="N87" s="163">
        <v>0</v>
      </c>
      <c r="O87" s="163">
        <v>0</v>
      </c>
      <c r="P87" s="163">
        <v>0</v>
      </c>
      <c r="Q87" s="163">
        <v>0</v>
      </c>
      <c r="R87" s="163">
        <v>0</v>
      </c>
      <c r="S87" s="163">
        <v>0</v>
      </c>
      <c r="T87" s="163">
        <v>0</v>
      </c>
      <c r="U87" s="163">
        <v>0</v>
      </c>
      <c r="V87" s="163">
        <v>0</v>
      </c>
      <c r="W87" s="163">
        <v>0</v>
      </c>
      <c r="X87" s="156">
        <f>IFERROR(VLOOKUP(A87,Table7[],2,FALSE),0)</f>
        <v>1468594.285312</v>
      </c>
      <c r="Y87" s="163">
        <v>0</v>
      </c>
      <c r="Z87" s="163">
        <v>0</v>
      </c>
      <c r="AA87" s="163">
        <v>0</v>
      </c>
      <c r="AB87" s="163">
        <v>0</v>
      </c>
      <c r="AC87" s="163">
        <v>0</v>
      </c>
      <c r="AD87" s="163">
        <v>917280</v>
      </c>
      <c r="AE87" s="163">
        <v>0</v>
      </c>
      <c r="AF87" s="163">
        <v>0</v>
      </c>
      <c r="AG87" s="163">
        <v>0</v>
      </c>
      <c r="AH87" s="163">
        <v>0</v>
      </c>
      <c r="AI87" s="164">
        <v>0</v>
      </c>
      <c r="AJ87" s="141">
        <f t="shared" ref="AJ87" si="78">SUMIF(C88:AI88,"Yes",C87:AI87)</f>
        <v>0</v>
      </c>
      <c r="AK87" s="142">
        <f>AJ87+B87</f>
        <v>1355295.1245173174</v>
      </c>
    </row>
    <row r="88" spans="1:37" ht="19.5" customHeight="1" x14ac:dyDescent="0.4">
      <c r="A88" s="158"/>
      <c r="B88" s="159"/>
      <c r="C88" s="135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  <c r="W88" s="136"/>
      <c r="X88" s="136"/>
      <c r="Y88" s="136"/>
      <c r="Z88" s="136"/>
      <c r="AA88" s="136"/>
      <c r="AB88" s="136"/>
      <c r="AC88" s="136"/>
      <c r="AD88" s="136"/>
      <c r="AE88" s="136"/>
      <c r="AF88" s="136"/>
      <c r="AG88" s="136"/>
      <c r="AH88" s="136"/>
      <c r="AI88" s="137"/>
      <c r="AJ88" s="144" t="str">
        <f t="shared" ref="AJ88" si="79">IF(COUNTIF(C88:AI88,"Yes")&lt;1,"",CONCATENATE("Count of 'Yes' : ",COUNTIF(C88:AI88,"Yes")))</f>
        <v/>
      </c>
      <c r="AK88" s="143"/>
    </row>
    <row r="89" spans="1:37" x14ac:dyDescent="0.4">
      <c r="A89" s="160" t="s">
        <v>54</v>
      </c>
      <c r="B89" s="161">
        <f>'Step1 - Def and Mod Analysis'!U51</f>
        <v>2512165.7476342609</v>
      </c>
      <c r="C89" s="162">
        <v>0</v>
      </c>
      <c r="D89" s="163">
        <v>0</v>
      </c>
      <c r="E89" s="163">
        <v>0</v>
      </c>
      <c r="F89" s="163">
        <v>0</v>
      </c>
      <c r="G89" s="163">
        <v>0</v>
      </c>
      <c r="H89" s="163">
        <v>0</v>
      </c>
      <c r="I89" s="163">
        <v>0</v>
      </c>
      <c r="J89" s="163">
        <v>0</v>
      </c>
      <c r="K89" s="163">
        <v>0</v>
      </c>
      <c r="L89" s="163">
        <v>0</v>
      </c>
      <c r="M89" s="163">
        <v>0</v>
      </c>
      <c r="N89" s="163">
        <v>0</v>
      </c>
      <c r="O89" s="163">
        <v>0</v>
      </c>
      <c r="P89" s="163">
        <v>0</v>
      </c>
      <c r="Q89" s="163">
        <v>0</v>
      </c>
      <c r="R89" s="163">
        <v>0</v>
      </c>
      <c r="S89" s="163">
        <v>0</v>
      </c>
      <c r="T89" s="163">
        <v>0</v>
      </c>
      <c r="U89" s="163">
        <v>0</v>
      </c>
      <c r="V89" s="163">
        <v>0</v>
      </c>
      <c r="W89" s="163">
        <v>0</v>
      </c>
      <c r="X89" s="156">
        <f>IFERROR(VLOOKUP(A89,Table7[],2,FALSE),0)</f>
        <v>0</v>
      </c>
      <c r="Y89" s="163">
        <v>0</v>
      </c>
      <c r="Z89" s="163">
        <v>0</v>
      </c>
      <c r="AA89" s="163">
        <v>0</v>
      </c>
      <c r="AB89" s="163">
        <v>0</v>
      </c>
      <c r="AC89" s="163">
        <v>0</v>
      </c>
      <c r="AD89" s="163">
        <v>0</v>
      </c>
      <c r="AE89" s="163">
        <v>0</v>
      </c>
      <c r="AF89" s="163">
        <v>0</v>
      </c>
      <c r="AG89" s="163">
        <v>0</v>
      </c>
      <c r="AH89" s="163">
        <v>0</v>
      </c>
      <c r="AI89" s="164">
        <v>0</v>
      </c>
      <c r="AJ89" s="141">
        <f t="shared" ref="AJ89" si="80">SUMIF(C90:AI90,"Yes",C89:AI89)</f>
        <v>0</v>
      </c>
      <c r="AK89" s="142">
        <f>AJ89+B89</f>
        <v>2512165.7476342609</v>
      </c>
    </row>
    <row r="90" spans="1:37" ht="19.5" customHeight="1" x14ac:dyDescent="0.4">
      <c r="A90" s="158"/>
      <c r="B90" s="159"/>
      <c r="C90" s="135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7"/>
      <c r="AJ90" s="144" t="str">
        <f t="shared" ref="AJ90" si="81">IF(COUNTIF(C90:AI90,"Yes")&lt;1,"",CONCATENATE("Count of 'Yes' : ",COUNTIF(C90:AI90,"Yes")))</f>
        <v/>
      </c>
      <c r="AK90" s="143"/>
    </row>
    <row r="91" spans="1:37" x14ac:dyDescent="0.4">
      <c r="A91" s="160" t="s">
        <v>55</v>
      </c>
      <c r="B91" s="161">
        <f>'Step1 - Def and Mod Analysis'!U52</f>
        <v>0</v>
      </c>
      <c r="C91" s="162">
        <v>0</v>
      </c>
      <c r="D91" s="163">
        <v>0</v>
      </c>
      <c r="E91" s="163">
        <v>0</v>
      </c>
      <c r="F91" s="163">
        <v>0</v>
      </c>
      <c r="G91" s="163">
        <v>137200</v>
      </c>
      <c r="H91" s="163">
        <v>0</v>
      </c>
      <c r="I91" s="163">
        <v>0</v>
      </c>
      <c r="J91" s="163">
        <v>0</v>
      </c>
      <c r="K91" s="163">
        <v>0</v>
      </c>
      <c r="L91" s="163">
        <v>0</v>
      </c>
      <c r="M91" s="163">
        <v>0</v>
      </c>
      <c r="N91" s="163">
        <v>0</v>
      </c>
      <c r="O91" s="163">
        <v>0</v>
      </c>
      <c r="P91" s="163">
        <v>0</v>
      </c>
      <c r="Q91" s="163">
        <v>0</v>
      </c>
      <c r="R91" s="163">
        <v>0</v>
      </c>
      <c r="S91" s="163">
        <v>0</v>
      </c>
      <c r="T91" s="163">
        <v>0</v>
      </c>
      <c r="U91" s="163">
        <v>0</v>
      </c>
      <c r="V91" s="163">
        <v>0</v>
      </c>
      <c r="W91" s="163">
        <v>0</v>
      </c>
      <c r="X91" s="156">
        <f>IFERROR(VLOOKUP(A91,Table7[],2,FALSE),0)</f>
        <v>0</v>
      </c>
      <c r="Y91" s="163">
        <v>0</v>
      </c>
      <c r="Z91" s="163">
        <v>0</v>
      </c>
      <c r="AA91" s="163">
        <v>0</v>
      </c>
      <c r="AB91" s="163">
        <v>0</v>
      </c>
      <c r="AC91" s="163">
        <v>0</v>
      </c>
      <c r="AD91" s="163">
        <v>0</v>
      </c>
      <c r="AE91" s="163">
        <v>0</v>
      </c>
      <c r="AF91" s="163">
        <v>0</v>
      </c>
      <c r="AG91" s="163">
        <v>4226348</v>
      </c>
      <c r="AH91" s="163">
        <v>0</v>
      </c>
      <c r="AI91" s="164">
        <v>0</v>
      </c>
      <c r="AJ91" s="141">
        <f t="shared" ref="AJ91" si="82">SUMIF(C92:AI92,"Yes",C91:AI91)</f>
        <v>0</v>
      </c>
      <c r="AK91" s="142">
        <f>AJ91+B91</f>
        <v>0</v>
      </c>
    </row>
    <row r="92" spans="1:37" ht="19.5" customHeight="1" x14ac:dyDescent="0.4">
      <c r="A92" s="158"/>
      <c r="B92" s="159"/>
      <c r="C92" s="135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6"/>
      <c r="V92" s="136"/>
      <c r="W92" s="136"/>
      <c r="X92" s="136"/>
      <c r="Y92" s="136"/>
      <c r="Z92" s="136"/>
      <c r="AA92" s="136"/>
      <c r="AB92" s="136"/>
      <c r="AC92" s="136"/>
      <c r="AD92" s="136"/>
      <c r="AE92" s="136"/>
      <c r="AF92" s="136"/>
      <c r="AG92" s="136"/>
      <c r="AH92" s="136"/>
      <c r="AI92" s="137"/>
      <c r="AJ92" s="144" t="str">
        <f t="shared" ref="AJ92" si="83">IF(COUNTIF(C92:AI92,"Yes")&lt;1,"",CONCATENATE("Count of 'Yes' : ",COUNTIF(C92:AI92,"Yes")))</f>
        <v/>
      </c>
      <c r="AK92" s="143"/>
    </row>
    <row r="93" spans="1:37" x14ac:dyDescent="0.4">
      <c r="A93" s="160" t="s">
        <v>56</v>
      </c>
      <c r="B93" s="161">
        <f>'Step1 - Def and Mod Analysis'!U53</f>
        <v>6133583.4259930253</v>
      </c>
      <c r="C93" s="162">
        <v>0</v>
      </c>
      <c r="D93" s="163">
        <v>0</v>
      </c>
      <c r="E93" s="163">
        <v>0</v>
      </c>
      <c r="F93" s="163">
        <v>0</v>
      </c>
      <c r="G93" s="163">
        <v>137200</v>
      </c>
      <c r="H93" s="163">
        <v>4795140</v>
      </c>
      <c r="I93" s="163">
        <v>1097600</v>
      </c>
      <c r="J93" s="163">
        <v>0</v>
      </c>
      <c r="K93" s="163">
        <v>0</v>
      </c>
      <c r="L93" s="163">
        <v>0</v>
      </c>
      <c r="M93" s="163">
        <v>0</v>
      </c>
      <c r="N93" s="163">
        <v>0</v>
      </c>
      <c r="O93" s="163">
        <v>0</v>
      </c>
      <c r="P93" s="163">
        <v>0</v>
      </c>
      <c r="Q93" s="163">
        <v>0</v>
      </c>
      <c r="R93" s="163">
        <v>60020368</v>
      </c>
      <c r="S93" s="163">
        <v>0</v>
      </c>
      <c r="T93" s="163">
        <v>0</v>
      </c>
      <c r="U93" s="163">
        <v>0</v>
      </c>
      <c r="V93" s="163">
        <v>0</v>
      </c>
      <c r="W93" s="163">
        <v>0</v>
      </c>
      <c r="X93" s="156">
        <f>IFERROR(VLOOKUP(A93,Table7[],2,FALSE),0)</f>
        <v>0</v>
      </c>
      <c r="Y93" s="163">
        <v>0</v>
      </c>
      <c r="Z93" s="163">
        <v>0</v>
      </c>
      <c r="AA93" s="163">
        <v>0</v>
      </c>
      <c r="AB93" s="163">
        <v>34692</v>
      </c>
      <c r="AC93" s="163">
        <v>0</v>
      </c>
      <c r="AD93" s="163">
        <v>1926288</v>
      </c>
      <c r="AE93" s="163">
        <v>205800</v>
      </c>
      <c r="AF93" s="163">
        <v>0</v>
      </c>
      <c r="AG93" s="163">
        <v>0</v>
      </c>
      <c r="AH93" s="163">
        <v>1955100</v>
      </c>
      <c r="AI93" s="164">
        <v>519400</v>
      </c>
      <c r="AJ93" s="141">
        <f t="shared" ref="AJ93" si="84">SUMIF(C94:AI94,"Yes",C93:AI93)</f>
        <v>0</v>
      </c>
      <c r="AK93" s="142">
        <f>AJ93+B93</f>
        <v>6133583.4259930253</v>
      </c>
    </row>
    <row r="94" spans="1:37" ht="19.5" customHeight="1" x14ac:dyDescent="0.4">
      <c r="A94" s="158"/>
      <c r="B94" s="159"/>
      <c r="C94" s="135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6"/>
      <c r="V94" s="136"/>
      <c r="W94" s="136"/>
      <c r="X94" s="136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7"/>
      <c r="AJ94" s="144" t="str">
        <f t="shared" ref="AJ94" si="85">IF(COUNTIF(C94:AI94,"Yes")&lt;1,"",CONCATENATE("Count of 'Yes' : ",COUNTIF(C94:AI94,"Yes")))</f>
        <v/>
      </c>
      <c r="AK94" s="143"/>
    </row>
    <row r="95" spans="1:37" x14ac:dyDescent="0.4">
      <c r="A95" s="160" t="s">
        <v>57</v>
      </c>
      <c r="B95" s="161">
        <f>'Step1 - Def and Mod Analysis'!U54</f>
        <v>2085830.4</v>
      </c>
      <c r="C95" s="162">
        <v>5880000</v>
      </c>
      <c r="D95" s="163">
        <v>0</v>
      </c>
      <c r="E95" s="163">
        <v>0</v>
      </c>
      <c r="F95" s="163">
        <v>123480</v>
      </c>
      <c r="G95" s="163">
        <v>137200</v>
      </c>
      <c r="H95" s="163">
        <v>0</v>
      </c>
      <c r="I95" s="163">
        <v>0</v>
      </c>
      <c r="J95" s="163">
        <v>0</v>
      </c>
      <c r="K95" s="163">
        <v>0</v>
      </c>
      <c r="L95" s="163">
        <v>0</v>
      </c>
      <c r="M95" s="163">
        <v>0</v>
      </c>
      <c r="N95" s="163">
        <v>0</v>
      </c>
      <c r="O95" s="163">
        <v>0</v>
      </c>
      <c r="P95" s="163">
        <v>0</v>
      </c>
      <c r="Q95" s="163">
        <v>0</v>
      </c>
      <c r="R95" s="163">
        <v>0</v>
      </c>
      <c r="S95" s="163">
        <v>0</v>
      </c>
      <c r="T95" s="163">
        <v>0</v>
      </c>
      <c r="U95" s="163">
        <v>0</v>
      </c>
      <c r="V95" s="163">
        <v>0</v>
      </c>
      <c r="W95" s="163">
        <v>0</v>
      </c>
      <c r="X95" s="156">
        <f>IFERROR(VLOOKUP(A95,Table7[],2,FALSE),0)</f>
        <v>0</v>
      </c>
      <c r="Y95" s="163">
        <v>0</v>
      </c>
      <c r="Z95" s="163">
        <v>0</v>
      </c>
      <c r="AA95" s="163">
        <v>0</v>
      </c>
      <c r="AB95" s="163">
        <v>0</v>
      </c>
      <c r="AC95" s="163">
        <v>0</v>
      </c>
      <c r="AD95" s="163">
        <v>0</v>
      </c>
      <c r="AE95" s="163">
        <v>0</v>
      </c>
      <c r="AF95" s="163">
        <v>0</v>
      </c>
      <c r="AG95" s="163">
        <v>0</v>
      </c>
      <c r="AH95" s="163">
        <v>0</v>
      </c>
      <c r="AI95" s="164">
        <v>0</v>
      </c>
      <c r="AJ95" s="141">
        <f t="shared" ref="AJ95" si="86">SUMIF(C96:AI96,"Yes",C95:AI95)</f>
        <v>0</v>
      </c>
      <c r="AK95" s="142">
        <f>AJ95+B95</f>
        <v>2085830.4</v>
      </c>
    </row>
    <row r="96" spans="1:37" ht="19.5" customHeight="1" x14ac:dyDescent="0.4">
      <c r="A96" s="158"/>
      <c r="B96" s="159"/>
      <c r="C96" s="135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7"/>
      <c r="AJ96" s="144" t="str">
        <f t="shared" ref="AJ96" si="87">IF(COUNTIF(C96:AI96,"Yes")&lt;1,"",CONCATENATE("Count of 'Yes' : ",COUNTIF(C96:AI96,"Yes")))</f>
        <v/>
      </c>
      <c r="AK96" s="143"/>
    </row>
    <row r="97" spans="1:37" x14ac:dyDescent="0.4">
      <c r="A97" s="160" t="s">
        <v>58</v>
      </c>
      <c r="B97" s="161">
        <f>'Step1 - Def and Mod Analysis'!U55</f>
        <v>726149.710060896</v>
      </c>
      <c r="C97" s="162">
        <v>0</v>
      </c>
      <c r="D97" s="163">
        <v>0</v>
      </c>
      <c r="E97" s="163">
        <v>0</v>
      </c>
      <c r="F97" s="163">
        <v>0</v>
      </c>
      <c r="G97" s="163">
        <v>0</v>
      </c>
      <c r="H97" s="163">
        <v>0</v>
      </c>
      <c r="I97" s="163">
        <v>0</v>
      </c>
      <c r="J97" s="163">
        <v>0</v>
      </c>
      <c r="K97" s="163">
        <v>0</v>
      </c>
      <c r="L97" s="163">
        <v>0</v>
      </c>
      <c r="M97" s="163">
        <v>0</v>
      </c>
      <c r="N97" s="163">
        <v>0</v>
      </c>
      <c r="O97" s="163">
        <v>0</v>
      </c>
      <c r="P97" s="163">
        <v>0</v>
      </c>
      <c r="Q97" s="163">
        <v>0</v>
      </c>
      <c r="R97" s="163">
        <v>0</v>
      </c>
      <c r="S97" s="163">
        <v>0</v>
      </c>
      <c r="T97" s="163">
        <v>0</v>
      </c>
      <c r="U97" s="163">
        <v>0</v>
      </c>
      <c r="V97" s="163">
        <v>0</v>
      </c>
      <c r="W97" s="163">
        <v>0</v>
      </c>
      <c r="X97" s="156">
        <f>IFERROR(VLOOKUP(A97,Table7[],2,FALSE),0)</f>
        <v>458323.26943999995</v>
      </c>
      <c r="Y97" s="163">
        <v>0</v>
      </c>
      <c r="Z97" s="163">
        <v>0</v>
      </c>
      <c r="AA97" s="163">
        <v>0</v>
      </c>
      <c r="AB97" s="163">
        <v>0</v>
      </c>
      <c r="AC97" s="163">
        <v>0</v>
      </c>
      <c r="AD97" s="163">
        <v>1806336</v>
      </c>
      <c r="AE97" s="163">
        <v>0</v>
      </c>
      <c r="AF97" s="163">
        <v>0</v>
      </c>
      <c r="AG97" s="163">
        <v>0</v>
      </c>
      <c r="AH97" s="163">
        <v>0</v>
      </c>
      <c r="AI97" s="164">
        <v>0</v>
      </c>
      <c r="AJ97" s="141">
        <f t="shared" ref="AJ97" si="88">SUMIF(C98:AI98,"Yes",C97:AI97)</f>
        <v>0</v>
      </c>
      <c r="AK97" s="142">
        <f>AJ97+B97</f>
        <v>726149.710060896</v>
      </c>
    </row>
    <row r="98" spans="1:37" ht="19.5" customHeight="1" x14ac:dyDescent="0.4">
      <c r="A98" s="158"/>
      <c r="B98" s="159"/>
      <c r="C98" s="135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7"/>
      <c r="AJ98" s="144" t="str">
        <f t="shared" ref="AJ98" si="89">IF(COUNTIF(C98:AI98,"Yes")&lt;1,"",CONCATENATE("Count of 'Yes' : ",COUNTIF(C98:AI98,"Yes")))</f>
        <v/>
      </c>
      <c r="AK98" s="143"/>
    </row>
    <row r="99" spans="1:37" x14ac:dyDescent="0.4">
      <c r="A99" s="160" t="s">
        <v>59</v>
      </c>
      <c r="B99" s="161">
        <f>'Step1 - Def and Mod Analysis'!U56</f>
        <v>38790000</v>
      </c>
      <c r="C99" s="162">
        <v>0</v>
      </c>
      <c r="D99" s="163">
        <v>0</v>
      </c>
      <c r="E99" s="163">
        <v>0</v>
      </c>
      <c r="F99" s="163">
        <v>0</v>
      </c>
      <c r="G99" s="163">
        <v>137200</v>
      </c>
      <c r="H99" s="163">
        <v>4795140</v>
      </c>
      <c r="I99" s="163">
        <v>1097600</v>
      </c>
      <c r="J99" s="163">
        <v>0</v>
      </c>
      <c r="K99" s="163">
        <v>0</v>
      </c>
      <c r="L99" s="163">
        <v>0</v>
      </c>
      <c r="M99" s="163">
        <v>0</v>
      </c>
      <c r="N99" s="163">
        <v>0</v>
      </c>
      <c r="O99" s="163">
        <v>0</v>
      </c>
      <c r="P99" s="163">
        <v>0</v>
      </c>
      <c r="Q99" s="163">
        <v>0</v>
      </c>
      <c r="R99" s="163">
        <v>38788288</v>
      </c>
      <c r="S99" s="163">
        <v>0</v>
      </c>
      <c r="T99" s="163">
        <v>0</v>
      </c>
      <c r="U99" s="163">
        <v>0</v>
      </c>
      <c r="V99" s="163">
        <v>0</v>
      </c>
      <c r="W99" s="163">
        <v>0</v>
      </c>
      <c r="X99" s="156">
        <f>IFERROR(VLOOKUP(A99,Table7[],2,FALSE),0)</f>
        <v>472707.10204000003</v>
      </c>
      <c r="Y99" s="163">
        <v>0</v>
      </c>
      <c r="Z99" s="163">
        <v>0</v>
      </c>
      <c r="AA99" s="163">
        <v>0</v>
      </c>
      <c r="AB99" s="163">
        <v>518067.20000000001</v>
      </c>
      <c r="AC99" s="163">
        <v>0</v>
      </c>
      <c r="AD99" s="163">
        <v>1502928</v>
      </c>
      <c r="AE99" s="163">
        <v>0</v>
      </c>
      <c r="AF99" s="163">
        <v>141120</v>
      </c>
      <c r="AG99" s="163">
        <v>0</v>
      </c>
      <c r="AH99" s="163">
        <v>1955100</v>
      </c>
      <c r="AI99" s="164">
        <v>0</v>
      </c>
      <c r="AJ99" s="141">
        <f t="shared" ref="AJ99" si="90">SUMIF(C100:AI100,"Yes",C99:AI99)</f>
        <v>0</v>
      </c>
      <c r="AK99" s="142">
        <f>AJ99+B99</f>
        <v>38790000</v>
      </c>
    </row>
    <row r="100" spans="1:37" ht="19.5" customHeight="1" x14ac:dyDescent="0.4">
      <c r="A100" s="158"/>
      <c r="B100" s="159"/>
      <c r="C100" s="135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7"/>
      <c r="AJ100" s="144" t="str">
        <f t="shared" ref="AJ100" si="91">IF(COUNTIF(C100:AI100,"Yes")&lt;1,"",CONCATENATE("Count of 'Yes' : ",COUNTIF(C100:AI100,"Yes")))</f>
        <v/>
      </c>
      <c r="AK100" s="143"/>
    </row>
    <row r="101" spans="1:37" x14ac:dyDescent="0.4">
      <c r="A101" s="160" t="s">
        <v>60</v>
      </c>
      <c r="B101" s="161">
        <f>'Step1 - Def and Mod Analysis'!U57</f>
        <v>2918709.1961736353</v>
      </c>
      <c r="C101" s="162">
        <v>5880000</v>
      </c>
      <c r="D101" s="163">
        <v>0</v>
      </c>
      <c r="E101" s="163">
        <v>0</v>
      </c>
      <c r="F101" s="163">
        <v>123480</v>
      </c>
      <c r="G101" s="302">
        <v>411600</v>
      </c>
      <c r="H101" s="163">
        <v>0</v>
      </c>
      <c r="I101" s="163">
        <v>0</v>
      </c>
      <c r="J101" s="163">
        <v>0</v>
      </c>
      <c r="K101" s="163">
        <v>0</v>
      </c>
      <c r="L101" s="163">
        <v>0</v>
      </c>
      <c r="M101" s="163">
        <v>0</v>
      </c>
      <c r="N101" s="163">
        <v>0</v>
      </c>
      <c r="O101" s="163">
        <v>0</v>
      </c>
      <c r="P101" s="163">
        <v>0</v>
      </c>
      <c r="Q101" s="163">
        <v>0</v>
      </c>
      <c r="R101" s="163">
        <v>0</v>
      </c>
      <c r="S101" s="163">
        <v>0</v>
      </c>
      <c r="T101" s="163">
        <v>0</v>
      </c>
      <c r="U101" s="163">
        <v>0</v>
      </c>
      <c r="V101" s="163">
        <v>0</v>
      </c>
      <c r="W101" s="163">
        <v>0</v>
      </c>
      <c r="X101" s="156">
        <f>IFERROR(VLOOKUP(A101,Table7[],2,FALSE),0)</f>
        <v>376873.14453400002</v>
      </c>
      <c r="Y101" s="163">
        <v>0</v>
      </c>
      <c r="Z101" s="163">
        <v>0</v>
      </c>
      <c r="AA101" s="163">
        <v>0</v>
      </c>
      <c r="AB101" s="163">
        <v>0</v>
      </c>
      <c r="AC101" s="163">
        <v>0</v>
      </c>
      <c r="AD101" s="163">
        <v>0</v>
      </c>
      <c r="AE101" s="163">
        <v>205800</v>
      </c>
      <c r="AF101" s="163">
        <v>109760</v>
      </c>
      <c r="AG101" s="163">
        <v>0</v>
      </c>
      <c r="AH101" s="163">
        <v>0</v>
      </c>
      <c r="AI101" s="164">
        <v>0</v>
      </c>
      <c r="AJ101" s="141">
        <f t="shared" ref="AJ101" si="92">SUMIF(C102:AI102,"Yes",C101:AI101)</f>
        <v>0</v>
      </c>
      <c r="AK101" s="142">
        <f>AJ101+B101</f>
        <v>2918709.1961736353</v>
      </c>
    </row>
    <row r="102" spans="1:37" ht="19.5" customHeight="1" x14ac:dyDescent="0.4">
      <c r="A102" s="158"/>
      <c r="B102" s="159"/>
      <c r="C102" s="135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7"/>
      <c r="AJ102" s="144" t="str">
        <f t="shared" ref="AJ102" si="93">IF(COUNTIF(C102:AI102,"Yes")&lt;1,"",CONCATENATE("Count of 'Yes' : ",COUNTIF(C102:AI102,"Yes")))</f>
        <v/>
      </c>
      <c r="AK102" s="143"/>
    </row>
    <row r="103" spans="1:37" x14ac:dyDescent="0.4">
      <c r="A103" s="160" t="s">
        <v>61</v>
      </c>
      <c r="B103" s="161">
        <f>'Step1 - Def and Mod Analysis'!U58</f>
        <v>1731399.7018180704</v>
      </c>
      <c r="C103" s="162">
        <v>0</v>
      </c>
      <c r="D103" s="163">
        <v>0</v>
      </c>
      <c r="E103" s="163">
        <v>0</v>
      </c>
      <c r="F103" s="163">
        <v>0</v>
      </c>
      <c r="G103" s="163">
        <v>0</v>
      </c>
      <c r="H103" s="163">
        <v>0</v>
      </c>
      <c r="I103" s="163">
        <v>0</v>
      </c>
      <c r="J103" s="163">
        <v>0</v>
      </c>
      <c r="K103" s="163">
        <v>0</v>
      </c>
      <c r="L103" s="163">
        <v>0</v>
      </c>
      <c r="M103" s="163">
        <v>0</v>
      </c>
      <c r="N103" s="163">
        <v>0</v>
      </c>
      <c r="O103" s="163">
        <v>0</v>
      </c>
      <c r="P103" s="163">
        <v>0</v>
      </c>
      <c r="Q103" s="163">
        <v>0</v>
      </c>
      <c r="R103" s="163">
        <v>74524856</v>
      </c>
      <c r="S103" s="163">
        <v>0</v>
      </c>
      <c r="T103" s="163">
        <v>0</v>
      </c>
      <c r="U103" s="163">
        <v>0</v>
      </c>
      <c r="V103" s="163">
        <v>0</v>
      </c>
      <c r="W103" s="163">
        <v>0</v>
      </c>
      <c r="X103" s="156">
        <f>IFERROR(VLOOKUP(A103,Table7[],2,FALSE),0)</f>
        <v>14778514.735069066</v>
      </c>
      <c r="Y103" s="163">
        <v>0</v>
      </c>
      <c r="Z103" s="163">
        <v>0</v>
      </c>
      <c r="AA103" s="163">
        <v>0</v>
      </c>
      <c r="AB103" s="163">
        <v>0</v>
      </c>
      <c r="AC103" s="163">
        <v>0</v>
      </c>
      <c r="AD103" s="163">
        <v>1714608</v>
      </c>
      <c r="AE103" s="163">
        <v>0</v>
      </c>
      <c r="AF103" s="163">
        <v>0</v>
      </c>
      <c r="AG103" s="163">
        <v>0</v>
      </c>
      <c r="AH103" s="163">
        <v>0</v>
      </c>
      <c r="AI103" s="164">
        <v>0</v>
      </c>
      <c r="AJ103" s="141">
        <f t="shared" ref="AJ103" si="94">SUMIF(C104:AI104,"Yes",C103:AI103)</f>
        <v>0</v>
      </c>
      <c r="AK103" s="142">
        <f>AJ103+B103</f>
        <v>1731399.7018180704</v>
      </c>
    </row>
    <row r="104" spans="1:37" ht="19.5" customHeight="1" x14ac:dyDescent="0.4">
      <c r="A104" s="158"/>
      <c r="B104" s="159"/>
      <c r="C104" s="135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7"/>
      <c r="AJ104" s="144" t="str">
        <f t="shared" ref="AJ104" si="95">IF(COUNTIF(C104:AI104,"Yes")&lt;1,"",CONCATENATE("Count of 'Yes' : ",COUNTIF(C104:AI104,"Yes")))</f>
        <v/>
      </c>
      <c r="AK104" s="143"/>
    </row>
    <row r="105" spans="1:37" x14ac:dyDescent="0.4">
      <c r="A105" s="160" t="s">
        <v>62</v>
      </c>
      <c r="B105" s="161">
        <f>'Step1 - Def and Mod Analysis'!U59</f>
        <v>641485.36938502255</v>
      </c>
      <c r="C105" s="162">
        <v>0</v>
      </c>
      <c r="D105" s="163">
        <v>0</v>
      </c>
      <c r="E105" s="163">
        <v>0</v>
      </c>
      <c r="F105" s="163">
        <v>0</v>
      </c>
      <c r="G105" s="163">
        <v>0</v>
      </c>
      <c r="H105" s="163">
        <v>0</v>
      </c>
      <c r="I105" s="163">
        <v>0</v>
      </c>
      <c r="J105" s="163">
        <v>0</v>
      </c>
      <c r="K105" s="163">
        <v>0</v>
      </c>
      <c r="L105" s="163">
        <v>0</v>
      </c>
      <c r="M105" s="163">
        <v>0</v>
      </c>
      <c r="N105" s="163">
        <v>0</v>
      </c>
      <c r="O105" s="163">
        <v>0</v>
      </c>
      <c r="P105" s="163">
        <v>40000000</v>
      </c>
      <c r="Q105" s="163">
        <v>0</v>
      </c>
      <c r="R105" s="163">
        <v>0</v>
      </c>
      <c r="S105" s="163">
        <v>0</v>
      </c>
      <c r="T105" s="163">
        <v>0</v>
      </c>
      <c r="U105" s="163">
        <v>0</v>
      </c>
      <c r="V105" s="163">
        <v>0</v>
      </c>
      <c r="W105" s="163">
        <v>0</v>
      </c>
      <c r="X105" s="156">
        <f>IFERROR(VLOOKUP(A105,Table7[],2,FALSE),0)</f>
        <v>1003915.0297599999</v>
      </c>
      <c r="Y105" s="163">
        <v>0</v>
      </c>
      <c r="Z105" s="163">
        <v>0</v>
      </c>
      <c r="AA105" s="163">
        <v>0</v>
      </c>
      <c r="AB105" s="163">
        <v>0</v>
      </c>
      <c r="AC105" s="163">
        <v>0</v>
      </c>
      <c r="AD105" s="163">
        <v>0</v>
      </c>
      <c r="AE105" s="163">
        <v>0</v>
      </c>
      <c r="AF105" s="163">
        <v>0</v>
      </c>
      <c r="AG105" s="163">
        <v>0</v>
      </c>
      <c r="AH105" s="163">
        <v>0</v>
      </c>
      <c r="AI105" s="164">
        <v>0</v>
      </c>
      <c r="AJ105" s="141">
        <f t="shared" ref="AJ105" si="96">SUMIF(C106:AI106,"Yes",C105:AI105)</f>
        <v>0</v>
      </c>
      <c r="AK105" s="142">
        <f>AJ105+B105</f>
        <v>641485.36938502255</v>
      </c>
    </row>
    <row r="106" spans="1:37" ht="19.5" customHeight="1" x14ac:dyDescent="0.4">
      <c r="A106" s="158"/>
      <c r="B106" s="159"/>
      <c r="C106" s="135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7"/>
      <c r="AJ106" s="144" t="str">
        <f t="shared" ref="AJ106" si="97">IF(COUNTIF(C106:AI106,"Yes")&lt;1,"",CONCATENATE("Count of 'Yes' : ",COUNTIF(C106:AI106,"Yes")))</f>
        <v/>
      </c>
      <c r="AK106" s="143"/>
    </row>
    <row r="107" spans="1:37" x14ac:dyDescent="0.4">
      <c r="A107" s="160" t="s">
        <v>63</v>
      </c>
      <c r="B107" s="161">
        <f>'Step1 - Def and Mod Analysis'!U60</f>
        <v>60020000</v>
      </c>
      <c r="C107" s="162">
        <v>0</v>
      </c>
      <c r="D107" s="163">
        <v>0</v>
      </c>
      <c r="E107" s="163">
        <v>0</v>
      </c>
      <c r="F107" s="163">
        <v>0</v>
      </c>
      <c r="G107" s="163">
        <v>137200</v>
      </c>
      <c r="H107" s="163">
        <v>0</v>
      </c>
      <c r="I107" s="163">
        <v>0</v>
      </c>
      <c r="J107" s="163">
        <v>0</v>
      </c>
      <c r="K107" s="163">
        <v>0</v>
      </c>
      <c r="L107" s="163">
        <v>0</v>
      </c>
      <c r="M107" s="163">
        <v>0</v>
      </c>
      <c r="N107" s="163">
        <v>0</v>
      </c>
      <c r="O107" s="163">
        <v>0</v>
      </c>
      <c r="P107" s="163">
        <v>0</v>
      </c>
      <c r="Q107" s="163">
        <v>0</v>
      </c>
      <c r="R107" s="163">
        <v>60020368</v>
      </c>
      <c r="S107" s="163">
        <v>0</v>
      </c>
      <c r="T107" s="163">
        <v>0</v>
      </c>
      <c r="U107" s="163">
        <v>0</v>
      </c>
      <c r="V107" s="163">
        <v>0</v>
      </c>
      <c r="W107" s="163">
        <v>0</v>
      </c>
      <c r="X107" s="156">
        <f>IFERROR(VLOOKUP(A107,Table7[],2,FALSE),0)</f>
        <v>583490.14591999992</v>
      </c>
      <c r="Y107" s="163">
        <v>0</v>
      </c>
      <c r="Z107" s="163">
        <v>0</v>
      </c>
      <c r="AA107" s="163">
        <v>0</v>
      </c>
      <c r="AB107" s="163">
        <v>0</v>
      </c>
      <c r="AC107" s="163">
        <v>0</v>
      </c>
      <c r="AD107" s="163">
        <v>0</v>
      </c>
      <c r="AE107" s="163">
        <v>205800</v>
      </c>
      <c r="AF107" s="163">
        <v>0</v>
      </c>
      <c r="AG107" s="163">
        <v>4226348</v>
      </c>
      <c r="AH107" s="163">
        <v>8901340</v>
      </c>
      <c r="AI107" s="164">
        <v>519400</v>
      </c>
      <c r="AJ107" s="141">
        <f t="shared" ref="AJ107" si="98">SUMIF(C108:AI108,"Yes",C107:AI107)</f>
        <v>0</v>
      </c>
      <c r="AK107" s="142">
        <f>AJ107+B107</f>
        <v>60020000</v>
      </c>
    </row>
    <row r="108" spans="1:37" ht="19.5" customHeight="1" x14ac:dyDescent="0.4">
      <c r="A108" s="158"/>
      <c r="B108" s="159"/>
      <c r="C108" s="135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  <c r="Q108" s="136"/>
      <c r="R108" s="136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7"/>
      <c r="AJ108" s="144" t="str">
        <f t="shared" ref="AJ108" si="99">IF(COUNTIF(C108:AI108,"Yes")&lt;1,"",CONCATENATE("Count of 'Yes' : ",COUNTIF(C108:AI108,"Yes")))</f>
        <v/>
      </c>
      <c r="AK108" s="143"/>
    </row>
    <row r="109" spans="1:37" x14ac:dyDescent="0.4">
      <c r="A109" s="160" t="s">
        <v>64</v>
      </c>
      <c r="B109" s="161">
        <f>'Step1 - Def and Mod Analysis'!U61</f>
        <v>2567876.1854061079</v>
      </c>
      <c r="C109" s="162">
        <v>0</v>
      </c>
      <c r="D109" s="163">
        <v>0</v>
      </c>
      <c r="E109" s="163">
        <v>0</v>
      </c>
      <c r="F109" s="163">
        <v>0</v>
      </c>
      <c r="G109" s="163">
        <v>137200</v>
      </c>
      <c r="H109" s="163">
        <v>4795140</v>
      </c>
      <c r="I109" s="163">
        <v>1097600</v>
      </c>
      <c r="J109" s="163">
        <v>0</v>
      </c>
      <c r="K109" s="163">
        <v>0</v>
      </c>
      <c r="L109" s="163">
        <v>0</v>
      </c>
      <c r="M109" s="163">
        <v>0</v>
      </c>
      <c r="N109" s="163">
        <v>0</v>
      </c>
      <c r="O109" s="163">
        <v>0</v>
      </c>
      <c r="P109" s="163">
        <v>0</v>
      </c>
      <c r="Q109" s="163">
        <v>0</v>
      </c>
      <c r="R109" s="163">
        <v>0</v>
      </c>
      <c r="S109" s="163">
        <v>0</v>
      </c>
      <c r="T109" s="163">
        <v>0</v>
      </c>
      <c r="U109" s="163">
        <v>0</v>
      </c>
      <c r="V109" s="163">
        <v>0</v>
      </c>
      <c r="W109" s="163">
        <v>0</v>
      </c>
      <c r="X109" s="156">
        <f>IFERROR(VLOOKUP(A109,Table7[],2,FALSE),0)</f>
        <v>185167.70736</v>
      </c>
      <c r="Y109" s="163">
        <v>0</v>
      </c>
      <c r="Z109" s="163">
        <v>0</v>
      </c>
      <c r="AA109" s="163">
        <v>0</v>
      </c>
      <c r="AB109" s="163">
        <v>34692</v>
      </c>
      <c r="AC109" s="163">
        <v>0</v>
      </c>
      <c r="AD109" s="163">
        <v>0</v>
      </c>
      <c r="AE109" s="163">
        <v>205800</v>
      </c>
      <c r="AF109" s="163">
        <v>62720</v>
      </c>
      <c r="AG109" s="163">
        <v>0</v>
      </c>
      <c r="AH109" s="163">
        <v>0</v>
      </c>
      <c r="AI109" s="164">
        <v>0</v>
      </c>
      <c r="AJ109" s="141">
        <f t="shared" ref="AJ109" si="100">SUMIF(C110:AI110,"Yes",C109:AI109)</f>
        <v>0</v>
      </c>
      <c r="AK109" s="142">
        <f>AJ109+B109</f>
        <v>2567876.1854061079</v>
      </c>
    </row>
    <row r="110" spans="1:37" ht="19.5" customHeight="1" x14ac:dyDescent="0.4">
      <c r="A110" s="158"/>
      <c r="B110" s="159"/>
      <c r="C110" s="135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  <c r="Q110" s="136"/>
      <c r="R110" s="136"/>
      <c r="S110" s="136"/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6"/>
      <c r="AG110" s="136"/>
      <c r="AH110" s="136"/>
      <c r="AI110" s="137"/>
      <c r="AJ110" s="144" t="str">
        <f t="shared" ref="AJ110" si="101">IF(COUNTIF(C110:AI110,"Yes")&lt;1,"",CONCATENATE("Count of 'Yes' : ",COUNTIF(C110:AI110,"Yes")))</f>
        <v/>
      </c>
      <c r="AK110" s="143"/>
    </row>
    <row r="111" spans="1:37" x14ac:dyDescent="0.4">
      <c r="A111" s="160" t="s">
        <v>65</v>
      </c>
      <c r="B111" s="161">
        <f>'Step1 - Def and Mod Analysis'!U62</f>
        <v>1303970.7955069409</v>
      </c>
      <c r="C111" s="162">
        <v>0</v>
      </c>
      <c r="D111" s="163">
        <v>0</v>
      </c>
      <c r="E111" s="163">
        <v>0</v>
      </c>
      <c r="F111" s="163">
        <v>0</v>
      </c>
      <c r="G111" s="163">
        <v>0</v>
      </c>
      <c r="H111" s="163">
        <v>0</v>
      </c>
      <c r="I111" s="163">
        <v>0</v>
      </c>
      <c r="J111" s="163">
        <v>0</v>
      </c>
      <c r="K111" s="163">
        <v>0</v>
      </c>
      <c r="L111" s="163">
        <v>0</v>
      </c>
      <c r="M111" s="163">
        <v>0</v>
      </c>
      <c r="N111" s="163">
        <v>0</v>
      </c>
      <c r="O111" s="163">
        <v>0</v>
      </c>
      <c r="P111" s="163">
        <v>0</v>
      </c>
      <c r="Q111" s="163">
        <v>0</v>
      </c>
      <c r="R111" s="163">
        <v>0</v>
      </c>
      <c r="S111" s="163">
        <v>0</v>
      </c>
      <c r="T111" s="163">
        <v>0</v>
      </c>
      <c r="U111" s="163">
        <v>0</v>
      </c>
      <c r="V111" s="163">
        <v>0</v>
      </c>
      <c r="W111" s="163">
        <v>0</v>
      </c>
      <c r="X111" s="156">
        <f>IFERROR(VLOOKUP(A111,Table7[],2,FALSE),0)</f>
        <v>262529.85691999999</v>
      </c>
      <c r="Y111" s="163">
        <v>0</v>
      </c>
      <c r="Z111" s="163">
        <v>0</v>
      </c>
      <c r="AA111" s="163">
        <v>0</v>
      </c>
      <c r="AB111" s="163">
        <v>0</v>
      </c>
      <c r="AC111" s="163">
        <v>0</v>
      </c>
      <c r="AD111" s="163">
        <v>1030176</v>
      </c>
      <c r="AE111" s="163">
        <v>0</v>
      </c>
      <c r="AF111" s="163">
        <v>0</v>
      </c>
      <c r="AG111" s="163">
        <v>0</v>
      </c>
      <c r="AH111" s="163">
        <v>0</v>
      </c>
      <c r="AI111" s="164">
        <v>0</v>
      </c>
      <c r="AJ111" s="141">
        <f t="shared" ref="AJ111" si="102">SUMIF(C112:AI112,"Yes",C111:AI111)</f>
        <v>0</v>
      </c>
      <c r="AK111" s="142">
        <f>AJ111+B111</f>
        <v>1303970.7955069409</v>
      </c>
    </row>
    <row r="112" spans="1:37" ht="19.5" customHeight="1" x14ac:dyDescent="0.4">
      <c r="A112" s="158"/>
      <c r="B112" s="159"/>
      <c r="C112" s="135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136"/>
      <c r="R112" s="136"/>
      <c r="S112" s="136"/>
      <c r="T112" s="136"/>
      <c r="U112" s="136"/>
      <c r="V112" s="136"/>
      <c r="W112" s="136"/>
      <c r="X112" s="136"/>
      <c r="Y112" s="136"/>
      <c r="Z112" s="136"/>
      <c r="AA112" s="136"/>
      <c r="AB112" s="136"/>
      <c r="AC112" s="136"/>
      <c r="AD112" s="136"/>
      <c r="AE112" s="136"/>
      <c r="AF112" s="136"/>
      <c r="AG112" s="136"/>
      <c r="AH112" s="136"/>
      <c r="AI112" s="137"/>
      <c r="AJ112" s="144" t="str">
        <f t="shared" ref="AJ112" si="103">IF(COUNTIF(C112:AI112,"Yes")&lt;1,"",CONCATENATE("Count of 'Yes' : ",COUNTIF(C112:AI112,"Yes")))</f>
        <v/>
      </c>
      <c r="AK112" s="143"/>
    </row>
    <row r="113" spans="1:37" x14ac:dyDescent="0.4">
      <c r="A113" s="160" t="s">
        <v>66</v>
      </c>
      <c r="B113" s="161">
        <f>'Step1 - Def and Mod Analysis'!U63</f>
        <v>3239992.9562931559</v>
      </c>
      <c r="C113" s="162">
        <v>0</v>
      </c>
      <c r="D113" s="163">
        <v>0</v>
      </c>
      <c r="E113" s="163">
        <v>0</v>
      </c>
      <c r="F113" s="163">
        <v>0</v>
      </c>
      <c r="G113" s="163">
        <v>0</v>
      </c>
      <c r="H113" s="163">
        <v>0</v>
      </c>
      <c r="I113" s="163">
        <v>0</v>
      </c>
      <c r="J113" s="163">
        <v>0</v>
      </c>
      <c r="K113" s="163">
        <v>0</v>
      </c>
      <c r="L113" s="163">
        <v>0</v>
      </c>
      <c r="M113" s="163">
        <v>0</v>
      </c>
      <c r="N113" s="163">
        <v>0</v>
      </c>
      <c r="O113" s="163">
        <v>0</v>
      </c>
      <c r="P113" s="163">
        <v>0</v>
      </c>
      <c r="Q113" s="163">
        <v>0</v>
      </c>
      <c r="R113" s="163">
        <v>0</v>
      </c>
      <c r="S113" s="163">
        <v>0</v>
      </c>
      <c r="T113" s="163">
        <v>0</v>
      </c>
      <c r="U113" s="163">
        <v>0</v>
      </c>
      <c r="V113" s="163">
        <v>0</v>
      </c>
      <c r="W113" s="163">
        <v>0</v>
      </c>
      <c r="X113" s="156">
        <f>IFERROR(VLOOKUP(A113,Table7[],2,FALSE),0)</f>
        <v>1189478.304</v>
      </c>
      <c r="Y113" s="163">
        <v>0</v>
      </c>
      <c r="Z113" s="163">
        <v>0</v>
      </c>
      <c r="AA113" s="163">
        <v>0</v>
      </c>
      <c r="AB113" s="163">
        <v>0</v>
      </c>
      <c r="AC113" s="163">
        <v>390040</v>
      </c>
      <c r="AD113" s="163">
        <v>0</v>
      </c>
      <c r="AE113" s="163">
        <v>0</v>
      </c>
      <c r="AF113" s="163">
        <v>0</v>
      </c>
      <c r="AG113" s="163">
        <v>0</v>
      </c>
      <c r="AH113" s="163">
        <v>0</v>
      </c>
      <c r="AI113" s="164">
        <v>0</v>
      </c>
      <c r="AJ113" s="141">
        <f t="shared" ref="AJ113" si="104">SUMIF(C114:AI114,"Yes",C113:AI113)</f>
        <v>0</v>
      </c>
      <c r="AK113" s="142">
        <f>AJ113+B113</f>
        <v>3239992.9562931559</v>
      </c>
    </row>
    <row r="114" spans="1:37" ht="19.5" customHeight="1" x14ac:dyDescent="0.4">
      <c r="A114" s="158"/>
      <c r="B114" s="159"/>
      <c r="C114" s="135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136"/>
      <c r="R114" s="136"/>
      <c r="S114" s="136"/>
      <c r="T114" s="136"/>
      <c r="U114" s="136"/>
      <c r="V114" s="136"/>
      <c r="W114" s="136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6"/>
      <c r="AH114" s="136"/>
      <c r="AI114" s="137"/>
      <c r="AJ114" s="144" t="str">
        <f t="shared" ref="AJ114" si="105">IF(COUNTIF(C114:AI114,"Yes")&lt;1,"",CONCATENATE("Count of 'Yes' : ",COUNTIF(C114:AI114,"Yes")))</f>
        <v/>
      </c>
      <c r="AK114" s="143"/>
    </row>
    <row r="115" spans="1:37" x14ac:dyDescent="0.4">
      <c r="A115" s="160" t="s">
        <v>67</v>
      </c>
      <c r="B115" s="161">
        <f>'Step1 - Def and Mod Analysis'!U64</f>
        <v>1710040.3533624844</v>
      </c>
      <c r="C115" s="162">
        <v>0</v>
      </c>
      <c r="D115" s="163">
        <v>0</v>
      </c>
      <c r="E115" s="163">
        <v>0</v>
      </c>
      <c r="F115" s="163">
        <v>0</v>
      </c>
      <c r="G115" s="163">
        <v>0</v>
      </c>
      <c r="H115" s="163">
        <v>0</v>
      </c>
      <c r="I115" s="163">
        <v>0</v>
      </c>
      <c r="J115" s="163">
        <v>0</v>
      </c>
      <c r="K115" s="163">
        <v>0</v>
      </c>
      <c r="L115" s="163">
        <v>0</v>
      </c>
      <c r="M115" s="163">
        <v>0</v>
      </c>
      <c r="N115" s="163">
        <v>0</v>
      </c>
      <c r="O115" s="163">
        <v>0</v>
      </c>
      <c r="P115" s="163">
        <v>0</v>
      </c>
      <c r="Q115" s="163">
        <v>0</v>
      </c>
      <c r="R115" s="163">
        <v>0</v>
      </c>
      <c r="S115" s="163">
        <v>0</v>
      </c>
      <c r="T115" s="163">
        <v>0</v>
      </c>
      <c r="U115" s="163">
        <v>0</v>
      </c>
      <c r="V115" s="163">
        <v>0</v>
      </c>
      <c r="W115" s="163">
        <v>0</v>
      </c>
      <c r="X115" s="156">
        <f>IFERROR(VLOOKUP(A115,Table7[],2,FALSE),0)</f>
        <v>0</v>
      </c>
      <c r="Y115" s="163">
        <v>0</v>
      </c>
      <c r="Z115" s="163">
        <v>0</v>
      </c>
      <c r="AA115" s="163">
        <v>0</v>
      </c>
      <c r="AB115" s="163">
        <v>0</v>
      </c>
      <c r="AC115" s="163">
        <v>0</v>
      </c>
      <c r="AD115" s="163">
        <v>0</v>
      </c>
      <c r="AE115" s="163">
        <v>0</v>
      </c>
      <c r="AF115" s="163">
        <v>0</v>
      </c>
      <c r="AG115" s="163">
        <v>0</v>
      </c>
      <c r="AH115" s="163">
        <v>0</v>
      </c>
      <c r="AI115" s="164">
        <v>0</v>
      </c>
      <c r="AJ115" s="141">
        <f t="shared" ref="AJ115" si="106">SUMIF(C116:AI116,"Yes",C115:AI115)</f>
        <v>0</v>
      </c>
      <c r="AK115" s="142">
        <f>AJ115+B115</f>
        <v>1710040.3533624844</v>
      </c>
    </row>
    <row r="116" spans="1:37" ht="19.5" customHeight="1" x14ac:dyDescent="0.4">
      <c r="A116" s="158"/>
      <c r="B116" s="159"/>
      <c r="C116" s="135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  <c r="Q116" s="136"/>
      <c r="R116" s="136"/>
      <c r="S116" s="136"/>
      <c r="T116" s="136"/>
      <c r="U116" s="136"/>
      <c r="V116" s="136"/>
      <c r="W116" s="136"/>
      <c r="X116" s="136"/>
      <c r="Y116" s="136"/>
      <c r="Z116" s="136"/>
      <c r="AA116" s="136"/>
      <c r="AB116" s="136"/>
      <c r="AC116" s="136"/>
      <c r="AD116" s="136"/>
      <c r="AE116" s="136"/>
      <c r="AF116" s="136"/>
      <c r="AG116" s="136"/>
      <c r="AH116" s="136"/>
      <c r="AI116" s="137"/>
      <c r="AJ116" s="144" t="str">
        <f t="shared" ref="AJ116" si="107">IF(COUNTIF(C116:AI116,"Yes")&lt;1,"",CONCATENATE("Count of 'Yes' : ",COUNTIF(C116:AI116,"Yes")))</f>
        <v/>
      </c>
      <c r="AK116" s="143"/>
    </row>
    <row r="117" spans="1:37" x14ac:dyDescent="0.4">
      <c r="A117" s="160" t="s">
        <v>68</v>
      </c>
      <c r="B117" s="161">
        <f>'Step1 - Def and Mod Analysis'!U65</f>
        <v>1208530.8562422346</v>
      </c>
      <c r="C117" s="162">
        <v>0</v>
      </c>
      <c r="D117" s="163">
        <v>0</v>
      </c>
      <c r="E117" s="163">
        <v>0</v>
      </c>
      <c r="F117" s="163">
        <v>0</v>
      </c>
      <c r="G117" s="163">
        <v>0</v>
      </c>
      <c r="H117" s="163">
        <v>0</v>
      </c>
      <c r="I117" s="163">
        <v>0</v>
      </c>
      <c r="J117" s="163">
        <v>0</v>
      </c>
      <c r="K117" s="163">
        <v>0</v>
      </c>
      <c r="L117" s="163">
        <v>0</v>
      </c>
      <c r="M117" s="163">
        <v>0</v>
      </c>
      <c r="N117" s="163">
        <v>0</v>
      </c>
      <c r="O117" s="163">
        <v>0</v>
      </c>
      <c r="P117" s="163">
        <v>0</v>
      </c>
      <c r="Q117" s="163">
        <v>0</v>
      </c>
      <c r="R117" s="163">
        <v>0</v>
      </c>
      <c r="S117" s="163">
        <v>0</v>
      </c>
      <c r="T117" s="163">
        <v>0</v>
      </c>
      <c r="U117" s="163">
        <v>0</v>
      </c>
      <c r="V117" s="163">
        <v>0</v>
      </c>
      <c r="W117" s="163">
        <v>0</v>
      </c>
      <c r="X117" s="156">
        <f>IFERROR(VLOOKUP(A117,Table7[],2,FALSE),0)</f>
        <v>630328.52177999995</v>
      </c>
      <c r="Y117" s="163">
        <v>0</v>
      </c>
      <c r="Z117" s="163">
        <v>0</v>
      </c>
      <c r="AA117" s="163">
        <v>0</v>
      </c>
      <c r="AB117" s="163">
        <v>0</v>
      </c>
      <c r="AC117" s="163">
        <v>0</v>
      </c>
      <c r="AD117" s="163">
        <v>0</v>
      </c>
      <c r="AE117" s="163">
        <v>205800</v>
      </c>
      <c r="AF117" s="163">
        <v>0</v>
      </c>
      <c r="AG117" s="163">
        <v>0</v>
      </c>
      <c r="AH117" s="163">
        <v>0</v>
      </c>
      <c r="AI117" s="164">
        <v>0</v>
      </c>
      <c r="AJ117" s="141">
        <f t="shared" ref="AJ117" si="108">SUMIF(C118:AI118,"Yes",C117:AI117)</f>
        <v>0</v>
      </c>
      <c r="AK117" s="142">
        <f>AJ117+B117</f>
        <v>1208530.8562422346</v>
      </c>
    </row>
    <row r="118" spans="1:37" ht="19.5" customHeight="1" x14ac:dyDescent="0.4">
      <c r="A118" s="158"/>
      <c r="B118" s="159"/>
      <c r="C118" s="135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7"/>
      <c r="AJ118" s="144" t="str">
        <f t="shared" ref="AJ118" si="109">IF(COUNTIF(C118:AI118,"Yes")&lt;1,"",CONCATENATE("Count of 'Yes' : ",COUNTIF(C118:AI118,"Yes")))</f>
        <v/>
      </c>
      <c r="AK118" s="143"/>
    </row>
    <row r="119" spans="1:37" x14ac:dyDescent="0.4">
      <c r="A119" s="160" t="s">
        <v>69</v>
      </c>
      <c r="B119" s="161">
        <f>'Step1 - Def and Mod Analysis'!U66</f>
        <v>621427.64891699143</v>
      </c>
      <c r="C119" s="162">
        <v>0</v>
      </c>
      <c r="D119" s="163">
        <v>0</v>
      </c>
      <c r="E119" s="163">
        <v>0</v>
      </c>
      <c r="F119" s="163">
        <v>0</v>
      </c>
      <c r="G119" s="163">
        <v>0</v>
      </c>
      <c r="H119" s="163">
        <v>0</v>
      </c>
      <c r="I119" s="163">
        <v>0</v>
      </c>
      <c r="J119" s="163">
        <v>0</v>
      </c>
      <c r="K119" s="163">
        <v>0</v>
      </c>
      <c r="L119" s="163">
        <v>0</v>
      </c>
      <c r="M119" s="163">
        <v>0</v>
      </c>
      <c r="N119" s="163">
        <v>0</v>
      </c>
      <c r="O119" s="163">
        <v>0</v>
      </c>
      <c r="P119" s="163">
        <v>0</v>
      </c>
      <c r="Q119" s="163">
        <v>0</v>
      </c>
      <c r="R119" s="163">
        <v>0</v>
      </c>
      <c r="S119" s="163">
        <v>0</v>
      </c>
      <c r="T119" s="163">
        <v>0</v>
      </c>
      <c r="U119" s="163">
        <v>0</v>
      </c>
      <c r="V119" s="163">
        <v>0</v>
      </c>
      <c r="W119" s="163">
        <v>0</v>
      </c>
      <c r="X119" s="156">
        <f>IFERROR(VLOOKUP(A119,Table7[],2,FALSE),0)</f>
        <v>635966.32459999993</v>
      </c>
      <c r="Y119" s="163">
        <v>0</v>
      </c>
      <c r="Z119" s="163">
        <v>0</v>
      </c>
      <c r="AA119" s="163">
        <v>0</v>
      </c>
      <c r="AB119" s="163">
        <v>0</v>
      </c>
      <c r="AC119" s="163">
        <v>0</v>
      </c>
      <c r="AD119" s="163">
        <v>0</v>
      </c>
      <c r="AE119" s="163">
        <v>0</v>
      </c>
      <c r="AF119" s="163">
        <v>0</v>
      </c>
      <c r="AG119" s="163">
        <v>0</v>
      </c>
      <c r="AH119" s="163">
        <v>0</v>
      </c>
      <c r="AI119" s="164">
        <v>0</v>
      </c>
      <c r="AJ119" s="141">
        <f t="shared" ref="AJ119" si="110">SUMIF(C120:AI120,"Yes",C119:AI119)</f>
        <v>0</v>
      </c>
      <c r="AK119" s="142">
        <f>AJ119+B119</f>
        <v>621427.64891699143</v>
      </c>
    </row>
    <row r="120" spans="1:37" ht="19.5" customHeight="1" x14ac:dyDescent="0.4">
      <c r="A120" s="158"/>
      <c r="B120" s="159"/>
      <c r="C120" s="135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/>
      <c r="AH120" s="136"/>
      <c r="AI120" s="137"/>
      <c r="AJ120" s="144" t="str">
        <f t="shared" ref="AJ120" si="111">IF(COUNTIF(C120:AI120,"Yes")&lt;1,"",CONCATENATE("Count of 'Yes' : ",COUNTIF(C120:AI120,"Yes")))</f>
        <v/>
      </c>
      <c r="AK120" s="143"/>
    </row>
    <row r="121" spans="1:37" x14ac:dyDescent="0.4">
      <c r="A121" s="160" t="s">
        <v>70</v>
      </c>
      <c r="B121" s="161">
        <f>'Step1 - Def and Mod Analysis'!U67</f>
        <v>31000000</v>
      </c>
      <c r="C121" s="162">
        <v>0</v>
      </c>
      <c r="D121" s="163">
        <v>0</v>
      </c>
      <c r="E121" s="163">
        <v>0</v>
      </c>
      <c r="F121" s="163">
        <v>0</v>
      </c>
      <c r="G121" s="163">
        <v>137200</v>
      </c>
      <c r="H121" s="163">
        <v>0</v>
      </c>
      <c r="I121" s="163">
        <v>0</v>
      </c>
      <c r="J121" s="163">
        <v>0</v>
      </c>
      <c r="K121" s="163">
        <v>0</v>
      </c>
      <c r="L121" s="163">
        <v>0</v>
      </c>
      <c r="M121" s="163">
        <v>0</v>
      </c>
      <c r="N121" s="163">
        <v>0</v>
      </c>
      <c r="O121" s="163">
        <v>0</v>
      </c>
      <c r="P121" s="163">
        <v>0</v>
      </c>
      <c r="Q121" s="163">
        <v>0</v>
      </c>
      <c r="R121" s="163">
        <v>60020368</v>
      </c>
      <c r="S121" s="163">
        <v>0</v>
      </c>
      <c r="T121" s="163">
        <v>0</v>
      </c>
      <c r="U121" s="163">
        <v>0</v>
      </c>
      <c r="V121" s="163">
        <v>0</v>
      </c>
      <c r="W121" s="163">
        <v>0</v>
      </c>
      <c r="X121" s="156">
        <f>IFERROR(VLOOKUP(A121,Table7[],2,FALSE),0)</f>
        <v>267604.24307167996</v>
      </c>
      <c r="Y121" s="163">
        <v>0</v>
      </c>
      <c r="Z121" s="163">
        <v>0</v>
      </c>
      <c r="AA121" s="163">
        <v>0</v>
      </c>
      <c r="AB121" s="163">
        <v>193260.704</v>
      </c>
      <c r="AC121" s="163">
        <v>0</v>
      </c>
      <c r="AD121" s="163">
        <v>1940400</v>
      </c>
      <c r="AE121" s="163">
        <v>0</v>
      </c>
      <c r="AF121" s="163">
        <v>0</v>
      </c>
      <c r="AG121" s="163">
        <v>4226348</v>
      </c>
      <c r="AH121" s="163">
        <v>0</v>
      </c>
      <c r="AI121" s="164">
        <v>519400</v>
      </c>
      <c r="AJ121" s="141">
        <f t="shared" ref="AJ121" si="112">SUMIF(C122:AI122,"Yes",C121:AI121)</f>
        <v>0</v>
      </c>
      <c r="AK121" s="142">
        <f>AJ121+B121</f>
        <v>31000000</v>
      </c>
    </row>
    <row r="122" spans="1:37" ht="19.5" customHeight="1" x14ac:dyDescent="0.4">
      <c r="A122" s="158"/>
      <c r="B122" s="159"/>
      <c r="C122" s="135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  <c r="O122" s="136"/>
      <c r="P122" s="136"/>
      <c r="Q122" s="136"/>
      <c r="R122" s="136"/>
      <c r="S122" s="136"/>
      <c r="T122" s="136"/>
      <c r="U122" s="136"/>
      <c r="V122" s="136"/>
      <c r="W122" s="136"/>
      <c r="X122" s="136"/>
      <c r="Y122" s="136"/>
      <c r="Z122" s="136"/>
      <c r="AA122" s="136"/>
      <c r="AB122" s="136"/>
      <c r="AC122" s="136"/>
      <c r="AD122" s="136"/>
      <c r="AE122" s="136"/>
      <c r="AF122" s="136"/>
      <c r="AG122" s="136"/>
      <c r="AH122" s="136"/>
      <c r="AI122" s="137"/>
      <c r="AJ122" s="144" t="str">
        <f t="shared" ref="AJ122" si="113">IF(COUNTIF(C122:AI122,"Yes")&lt;1,"",CONCATENATE("Count of 'Yes' : ",COUNTIF(C122:AI122,"Yes")))</f>
        <v/>
      </c>
      <c r="AK122" s="143"/>
    </row>
    <row r="123" spans="1:37" x14ac:dyDescent="0.4">
      <c r="A123" s="160" t="s">
        <v>126</v>
      </c>
      <c r="B123" s="161">
        <f>'Step1 - Def and Mod Analysis'!U68</f>
        <v>27170995.378925424</v>
      </c>
      <c r="C123" s="162">
        <v>0</v>
      </c>
      <c r="D123" s="163">
        <v>0</v>
      </c>
      <c r="E123" s="163">
        <v>0</v>
      </c>
      <c r="F123" s="163">
        <v>0</v>
      </c>
      <c r="G123" s="163">
        <v>137200</v>
      </c>
      <c r="H123" s="163">
        <v>0</v>
      </c>
      <c r="I123" s="163">
        <v>0</v>
      </c>
      <c r="J123" s="163">
        <v>0</v>
      </c>
      <c r="K123" s="163">
        <v>3684800</v>
      </c>
      <c r="L123" s="163">
        <v>0</v>
      </c>
      <c r="M123" s="163">
        <v>0</v>
      </c>
      <c r="N123" s="163">
        <v>0</v>
      </c>
      <c r="O123" s="163">
        <v>0</v>
      </c>
      <c r="P123" s="163">
        <v>0</v>
      </c>
      <c r="Q123" s="163">
        <v>0</v>
      </c>
      <c r="R123" s="163">
        <v>0</v>
      </c>
      <c r="S123" s="163">
        <v>0</v>
      </c>
      <c r="T123" s="163">
        <v>0</v>
      </c>
      <c r="U123" s="163">
        <v>0</v>
      </c>
      <c r="V123" s="163">
        <v>0</v>
      </c>
      <c r="W123" s="163">
        <v>0</v>
      </c>
      <c r="X123" s="156">
        <f>IFERROR(VLOOKUP(A123,Table7[],2,FALSE),0)</f>
        <v>0</v>
      </c>
      <c r="Y123" s="163">
        <v>0</v>
      </c>
      <c r="Z123" s="163">
        <v>0</v>
      </c>
      <c r="AA123" s="163">
        <v>0</v>
      </c>
      <c r="AB123" s="163">
        <v>0</v>
      </c>
      <c r="AC123" s="163">
        <v>0</v>
      </c>
      <c r="AD123" s="163">
        <v>0</v>
      </c>
      <c r="AE123" s="163">
        <v>0</v>
      </c>
      <c r="AF123" s="163">
        <v>0</v>
      </c>
      <c r="AG123" s="163">
        <v>0</v>
      </c>
      <c r="AH123" s="163">
        <v>0</v>
      </c>
      <c r="AI123" s="164">
        <v>0</v>
      </c>
      <c r="AJ123" s="141">
        <f t="shared" ref="AJ123" si="114">SUMIF(C124:AI124,"Yes",C123:AI123)</f>
        <v>0</v>
      </c>
      <c r="AK123" s="142">
        <f>AJ123+B123</f>
        <v>27170995.378925424</v>
      </c>
    </row>
    <row r="124" spans="1:37" ht="19.5" customHeight="1" x14ac:dyDescent="0.4">
      <c r="A124" s="158"/>
      <c r="B124" s="159"/>
      <c r="C124" s="135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136"/>
      <c r="S124" s="136"/>
      <c r="T124" s="136"/>
      <c r="U124" s="136"/>
      <c r="V124" s="136"/>
      <c r="W124" s="136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/>
      <c r="AH124" s="136"/>
      <c r="AI124" s="137"/>
      <c r="AJ124" s="144" t="str">
        <f t="shared" ref="AJ124" si="115">IF(COUNTIF(C124:AI124,"Yes")&lt;1,"",CONCATENATE("Count of 'Yes' : ",COUNTIF(C124:AI124,"Yes")))</f>
        <v/>
      </c>
      <c r="AK124" s="143"/>
    </row>
    <row r="125" spans="1:37" x14ac:dyDescent="0.4">
      <c r="A125" s="160" t="s">
        <v>71</v>
      </c>
      <c r="B125" s="161">
        <f>'Step1 - Def and Mod Analysis'!U69</f>
        <v>0</v>
      </c>
      <c r="C125" s="162">
        <v>0</v>
      </c>
      <c r="D125" s="163">
        <v>0</v>
      </c>
      <c r="E125" s="163">
        <v>0</v>
      </c>
      <c r="F125" s="163">
        <v>0</v>
      </c>
      <c r="G125" s="163">
        <v>0</v>
      </c>
      <c r="H125" s="163">
        <v>0</v>
      </c>
      <c r="I125" s="163">
        <v>0</v>
      </c>
      <c r="J125" s="163">
        <v>3087000</v>
      </c>
      <c r="K125" s="163">
        <v>3684800</v>
      </c>
      <c r="L125" s="163">
        <v>0</v>
      </c>
      <c r="M125" s="163">
        <v>0</v>
      </c>
      <c r="N125" s="163">
        <v>0</v>
      </c>
      <c r="O125" s="163">
        <v>30870000</v>
      </c>
      <c r="P125" s="163">
        <v>235796842</v>
      </c>
      <c r="Q125" s="163">
        <v>0</v>
      </c>
      <c r="R125" s="163">
        <v>0</v>
      </c>
      <c r="S125" s="163">
        <v>0</v>
      </c>
      <c r="T125" s="163">
        <v>0</v>
      </c>
      <c r="U125" s="163">
        <v>0</v>
      </c>
      <c r="V125" s="163">
        <v>0</v>
      </c>
      <c r="W125" s="163">
        <v>0</v>
      </c>
      <c r="X125" s="156">
        <f>IFERROR(VLOOKUP(A125,Table7[],2,FALSE),0)</f>
        <v>0</v>
      </c>
      <c r="Y125" s="163">
        <v>0</v>
      </c>
      <c r="Z125" s="163">
        <v>0</v>
      </c>
      <c r="AA125" s="163">
        <v>0</v>
      </c>
      <c r="AB125" s="163">
        <v>0</v>
      </c>
      <c r="AC125" s="163">
        <v>0</v>
      </c>
      <c r="AD125" s="163">
        <v>0</v>
      </c>
      <c r="AE125" s="163">
        <v>0</v>
      </c>
      <c r="AF125" s="163">
        <v>0</v>
      </c>
      <c r="AG125" s="163">
        <v>0</v>
      </c>
      <c r="AH125" s="163">
        <v>0</v>
      </c>
      <c r="AI125" s="164">
        <v>0</v>
      </c>
      <c r="AJ125" s="141">
        <f t="shared" ref="AJ125" si="116">SUMIF(C126:AI126,"Yes",C125:AI125)</f>
        <v>0</v>
      </c>
      <c r="AK125" s="142">
        <f>AJ125+B125</f>
        <v>0</v>
      </c>
    </row>
    <row r="126" spans="1:37" ht="19.5" customHeight="1" x14ac:dyDescent="0.4">
      <c r="A126" s="158"/>
      <c r="B126" s="159"/>
      <c r="C126" s="135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136"/>
      <c r="P126" s="136"/>
      <c r="Q126" s="136"/>
      <c r="R126" s="136"/>
      <c r="S126" s="136"/>
      <c r="T126" s="136"/>
      <c r="U126" s="136"/>
      <c r="V126" s="136"/>
      <c r="W126" s="136"/>
      <c r="X126" s="136"/>
      <c r="Y126" s="136"/>
      <c r="Z126" s="136"/>
      <c r="AA126" s="136"/>
      <c r="AB126" s="136"/>
      <c r="AC126" s="136"/>
      <c r="AD126" s="136"/>
      <c r="AE126" s="136"/>
      <c r="AF126" s="136"/>
      <c r="AG126" s="136"/>
      <c r="AH126" s="136"/>
      <c r="AI126" s="137"/>
      <c r="AJ126" s="144" t="str">
        <f t="shared" ref="AJ126" si="117">IF(COUNTIF(C126:AI126,"Yes")&lt;1,"",CONCATENATE("Count of 'Yes' : ",COUNTIF(C126:AI126,"Yes")))</f>
        <v/>
      </c>
      <c r="AK126" s="143"/>
    </row>
    <row r="127" spans="1:37" x14ac:dyDescent="0.4">
      <c r="A127" s="160" t="s">
        <v>72</v>
      </c>
      <c r="B127" s="161">
        <f>'Step1 - Def and Mod Analysis'!U70</f>
        <v>159453.5230384607</v>
      </c>
      <c r="C127" s="162">
        <v>0</v>
      </c>
      <c r="D127" s="163">
        <v>0</v>
      </c>
      <c r="E127" s="163">
        <v>0</v>
      </c>
      <c r="F127" s="163">
        <v>0</v>
      </c>
      <c r="G127" s="163">
        <v>0</v>
      </c>
      <c r="H127" s="163">
        <v>0</v>
      </c>
      <c r="I127" s="163">
        <v>0</v>
      </c>
      <c r="J127" s="163">
        <v>0</v>
      </c>
      <c r="K127" s="163">
        <v>0</v>
      </c>
      <c r="L127" s="163">
        <v>0</v>
      </c>
      <c r="M127" s="163">
        <v>0</v>
      </c>
      <c r="N127" s="163">
        <v>0</v>
      </c>
      <c r="O127" s="163">
        <v>0</v>
      </c>
      <c r="P127" s="163">
        <v>0</v>
      </c>
      <c r="Q127" s="163">
        <v>0</v>
      </c>
      <c r="R127" s="163">
        <v>0</v>
      </c>
      <c r="S127" s="163">
        <v>0</v>
      </c>
      <c r="T127" s="163">
        <v>0</v>
      </c>
      <c r="U127" s="163">
        <v>0</v>
      </c>
      <c r="V127" s="163">
        <v>0</v>
      </c>
      <c r="W127" s="163">
        <v>0</v>
      </c>
      <c r="X127" s="156">
        <f>IFERROR(VLOOKUP(A127,Table7[],2,FALSE),0)</f>
        <v>387905.63143999997</v>
      </c>
      <c r="Y127" s="163">
        <v>0</v>
      </c>
      <c r="Z127" s="163">
        <v>0</v>
      </c>
      <c r="AA127" s="163">
        <v>0</v>
      </c>
      <c r="AB127" s="163">
        <v>0</v>
      </c>
      <c r="AC127" s="163">
        <v>0</v>
      </c>
      <c r="AD127" s="163">
        <v>0</v>
      </c>
      <c r="AE127" s="163">
        <v>0</v>
      </c>
      <c r="AF127" s="163">
        <v>0</v>
      </c>
      <c r="AG127" s="163">
        <v>4226348</v>
      </c>
      <c r="AH127" s="163">
        <v>0</v>
      </c>
      <c r="AI127" s="164">
        <v>0</v>
      </c>
      <c r="AJ127" s="141">
        <f t="shared" ref="AJ127" si="118">SUMIF(C128:AI128,"Yes",C127:AI127)</f>
        <v>0</v>
      </c>
      <c r="AK127" s="142">
        <f>AJ127+B127</f>
        <v>159453.5230384607</v>
      </c>
    </row>
    <row r="128" spans="1:37" ht="19.5" customHeight="1" x14ac:dyDescent="0.4">
      <c r="A128" s="158"/>
      <c r="B128" s="159"/>
      <c r="C128" s="135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6"/>
      <c r="V128" s="136"/>
      <c r="W128" s="136"/>
      <c r="X128" s="136"/>
      <c r="Y128" s="136"/>
      <c r="Z128" s="136"/>
      <c r="AA128" s="136"/>
      <c r="AB128" s="136"/>
      <c r="AC128" s="136"/>
      <c r="AD128" s="136"/>
      <c r="AE128" s="136"/>
      <c r="AF128" s="136"/>
      <c r="AG128" s="136"/>
      <c r="AH128" s="136"/>
      <c r="AI128" s="137"/>
      <c r="AJ128" s="144" t="str">
        <f t="shared" ref="AJ128" si="119">IF(COUNTIF(C128:AI128,"Yes")&lt;1,"",CONCATENATE("Count of 'Yes' : ",COUNTIF(C128:AI128,"Yes")))</f>
        <v/>
      </c>
      <c r="AK128" s="143"/>
    </row>
    <row r="129" spans="1:37" x14ac:dyDescent="0.4">
      <c r="A129" s="160" t="s">
        <v>73</v>
      </c>
      <c r="B129" s="161">
        <f>'Step1 - Def and Mod Analysis'!U71</f>
        <v>60020368</v>
      </c>
      <c r="C129" s="162">
        <v>0</v>
      </c>
      <c r="D129" s="163">
        <v>0</v>
      </c>
      <c r="E129" s="163">
        <v>0</v>
      </c>
      <c r="F129" s="163">
        <v>0</v>
      </c>
      <c r="G129" s="163">
        <v>137200</v>
      </c>
      <c r="H129" s="163">
        <v>0</v>
      </c>
      <c r="I129" s="163">
        <v>1097600</v>
      </c>
      <c r="J129" s="163">
        <v>0</v>
      </c>
      <c r="K129" s="163">
        <v>0</v>
      </c>
      <c r="L129" s="163">
        <v>0</v>
      </c>
      <c r="M129" s="163">
        <v>0</v>
      </c>
      <c r="N129" s="163">
        <v>0</v>
      </c>
      <c r="O129" s="163">
        <v>0</v>
      </c>
      <c r="P129" s="163">
        <v>0</v>
      </c>
      <c r="Q129" s="163">
        <v>0</v>
      </c>
      <c r="R129" s="163">
        <v>60020368</v>
      </c>
      <c r="S129" s="163">
        <v>0</v>
      </c>
      <c r="T129" s="163">
        <v>0</v>
      </c>
      <c r="U129" s="163">
        <v>0</v>
      </c>
      <c r="V129" s="163">
        <v>0</v>
      </c>
      <c r="W129" s="163">
        <v>0</v>
      </c>
      <c r="X129" s="156">
        <f>IFERROR(VLOOKUP(A129,Table7[],2,FALSE),0)</f>
        <v>478537.78856000002</v>
      </c>
      <c r="Y129" s="163">
        <v>0</v>
      </c>
      <c r="Z129" s="163">
        <v>0</v>
      </c>
      <c r="AA129" s="163">
        <v>0</v>
      </c>
      <c r="AB129" s="163">
        <v>0</v>
      </c>
      <c r="AC129" s="163">
        <v>0</v>
      </c>
      <c r="AD129" s="163">
        <v>1580544</v>
      </c>
      <c r="AE129" s="163">
        <v>205800</v>
      </c>
      <c r="AF129" s="163">
        <v>15680</v>
      </c>
      <c r="AG129" s="163">
        <v>0</v>
      </c>
      <c r="AH129" s="163">
        <v>2265858</v>
      </c>
      <c r="AI129" s="164">
        <v>0</v>
      </c>
      <c r="AJ129" s="141">
        <f t="shared" ref="AJ129" si="120">SUMIF(C130:AI130,"Yes",C129:AI129)</f>
        <v>0</v>
      </c>
      <c r="AK129" s="142">
        <f>AJ129+B129</f>
        <v>60020368</v>
      </c>
    </row>
    <row r="130" spans="1:37" ht="19.5" customHeight="1" x14ac:dyDescent="0.4">
      <c r="A130" s="158"/>
      <c r="B130" s="159"/>
      <c r="C130" s="135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6"/>
      <c r="V130" s="136"/>
      <c r="W130" s="136"/>
      <c r="X130" s="136"/>
      <c r="Y130" s="136"/>
      <c r="Z130" s="136"/>
      <c r="AA130" s="136"/>
      <c r="AB130" s="136"/>
      <c r="AC130" s="136"/>
      <c r="AD130" s="136"/>
      <c r="AE130" s="136"/>
      <c r="AF130" s="136"/>
      <c r="AG130" s="136"/>
      <c r="AH130" s="136"/>
      <c r="AI130" s="137"/>
      <c r="AJ130" s="144" t="str">
        <f t="shared" ref="AJ130" si="121">IF(COUNTIF(C130:AI130,"Yes")&lt;1,"",CONCATENATE("Count of 'Yes' : ",COUNTIF(C130:AI130,"Yes")))</f>
        <v/>
      </c>
      <c r="AK130" s="143"/>
    </row>
    <row r="131" spans="1:37" x14ac:dyDescent="0.4">
      <c r="A131" s="160" t="s">
        <v>74</v>
      </c>
      <c r="B131" s="161">
        <f>'Step1 - Def and Mod Analysis'!U72</f>
        <v>4399146.2901334921</v>
      </c>
      <c r="C131" s="162">
        <v>0</v>
      </c>
      <c r="D131" s="163">
        <v>0</v>
      </c>
      <c r="E131" s="163">
        <v>0</v>
      </c>
      <c r="F131" s="163">
        <v>0</v>
      </c>
      <c r="G131" s="163">
        <v>137200</v>
      </c>
      <c r="H131" s="163">
        <v>0</v>
      </c>
      <c r="I131" s="163">
        <v>1372000</v>
      </c>
      <c r="J131" s="163">
        <v>2587200</v>
      </c>
      <c r="K131" s="163">
        <v>0</v>
      </c>
      <c r="L131" s="163">
        <v>0</v>
      </c>
      <c r="M131" s="163">
        <v>0</v>
      </c>
      <c r="N131" s="163">
        <v>0</v>
      </c>
      <c r="O131" s="163">
        <v>8158500</v>
      </c>
      <c r="P131" s="163">
        <v>0</v>
      </c>
      <c r="Q131" s="163">
        <v>0</v>
      </c>
      <c r="R131" s="163">
        <v>0</v>
      </c>
      <c r="S131" s="163">
        <v>0</v>
      </c>
      <c r="T131" s="163">
        <v>0</v>
      </c>
      <c r="U131" s="163">
        <v>0</v>
      </c>
      <c r="V131" s="163">
        <v>0</v>
      </c>
      <c r="W131" s="163">
        <v>0</v>
      </c>
      <c r="X131" s="156">
        <f>IFERROR(VLOOKUP(A131,Table7[],2,FALSE),0)</f>
        <v>957524.21120000002</v>
      </c>
      <c r="Y131" s="163">
        <v>0</v>
      </c>
      <c r="Z131" s="163">
        <v>0</v>
      </c>
      <c r="AA131" s="163">
        <v>0</v>
      </c>
      <c r="AB131" s="163">
        <v>0</v>
      </c>
      <c r="AC131" s="163">
        <v>390040</v>
      </c>
      <c r="AD131" s="163">
        <v>1030176</v>
      </c>
      <c r="AE131" s="163">
        <v>0</v>
      </c>
      <c r="AF131" s="163">
        <v>62720</v>
      </c>
      <c r="AG131" s="163">
        <v>0</v>
      </c>
      <c r="AH131" s="163">
        <v>20230434</v>
      </c>
      <c r="AI131" s="164">
        <v>4111884</v>
      </c>
      <c r="AJ131" s="141">
        <f t="shared" ref="AJ131" si="122">SUMIF(C132:AI132,"Yes",C131:AI131)</f>
        <v>0</v>
      </c>
      <c r="AK131" s="142">
        <f>AJ131+B131</f>
        <v>4399146.2901334921</v>
      </c>
    </row>
    <row r="132" spans="1:37" ht="19.5" customHeight="1" x14ac:dyDescent="0.4">
      <c r="A132" s="158"/>
      <c r="B132" s="159"/>
      <c r="C132" s="135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  <c r="O132" s="136"/>
      <c r="P132" s="136"/>
      <c r="Q132" s="136"/>
      <c r="R132" s="136"/>
      <c r="S132" s="136"/>
      <c r="T132" s="136"/>
      <c r="U132" s="136"/>
      <c r="V132" s="136"/>
      <c r="W132" s="136"/>
      <c r="X132" s="136"/>
      <c r="Y132" s="136"/>
      <c r="Z132" s="136"/>
      <c r="AA132" s="136"/>
      <c r="AB132" s="136"/>
      <c r="AC132" s="136"/>
      <c r="AD132" s="136"/>
      <c r="AE132" s="136"/>
      <c r="AF132" s="136"/>
      <c r="AG132" s="136"/>
      <c r="AH132" s="136"/>
      <c r="AI132" s="137"/>
      <c r="AJ132" s="144" t="str">
        <f t="shared" ref="AJ132" si="123">IF(COUNTIF(C132:AI132,"Yes")&lt;1,"",CONCATENATE("Count of 'Yes' : ",COUNTIF(C132:AI132,"Yes")))</f>
        <v/>
      </c>
      <c r="AK132" s="143"/>
    </row>
    <row r="133" spans="1:37" x14ac:dyDescent="0.4">
      <c r="A133" s="160" t="s">
        <v>75</v>
      </c>
      <c r="B133" s="161">
        <f>'Step1 - Def and Mod Analysis'!U73</f>
        <v>554588.68184452737</v>
      </c>
      <c r="C133" s="162">
        <v>0</v>
      </c>
      <c r="D133" s="163">
        <v>0</v>
      </c>
      <c r="E133" s="163">
        <v>0</v>
      </c>
      <c r="F133" s="163">
        <v>0</v>
      </c>
      <c r="G133" s="163">
        <v>0</v>
      </c>
      <c r="H133" s="163">
        <v>0</v>
      </c>
      <c r="I133" s="163">
        <v>0</v>
      </c>
      <c r="J133" s="163">
        <v>0</v>
      </c>
      <c r="K133" s="163">
        <v>0</v>
      </c>
      <c r="L133" s="163">
        <v>0</v>
      </c>
      <c r="M133" s="163">
        <v>0</v>
      </c>
      <c r="N133" s="163">
        <v>0</v>
      </c>
      <c r="O133" s="163">
        <v>0</v>
      </c>
      <c r="P133" s="163">
        <v>0</v>
      </c>
      <c r="Q133" s="163">
        <v>0</v>
      </c>
      <c r="R133" s="163">
        <v>0</v>
      </c>
      <c r="S133" s="163">
        <v>0</v>
      </c>
      <c r="T133" s="163">
        <v>0</v>
      </c>
      <c r="U133" s="163">
        <v>0</v>
      </c>
      <c r="V133" s="163">
        <v>0</v>
      </c>
      <c r="W133" s="163">
        <v>0</v>
      </c>
      <c r="X133" s="156">
        <f>IFERROR(VLOOKUP(A133,Table7[],2,FALSE),0)</f>
        <v>624458.26503999997</v>
      </c>
      <c r="Y133" s="163">
        <v>0</v>
      </c>
      <c r="Z133" s="163">
        <v>0</v>
      </c>
      <c r="AA133" s="163">
        <v>0</v>
      </c>
      <c r="AB133" s="163">
        <v>0</v>
      </c>
      <c r="AC133" s="163">
        <v>0</v>
      </c>
      <c r="AD133" s="163">
        <v>0</v>
      </c>
      <c r="AE133" s="163">
        <v>0</v>
      </c>
      <c r="AF133" s="163">
        <v>0</v>
      </c>
      <c r="AG133" s="163">
        <v>0</v>
      </c>
      <c r="AH133" s="163">
        <v>0</v>
      </c>
      <c r="AI133" s="164">
        <v>0</v>
      </c>
      <c r="AJ133" s="141">
        <f t="shared" ref="AJ133" si="124">SUMIF(C134:AI134,"Yes",C133:AI133)</f>
        <v>0</v>
      </c>
      <c r="AK133" s="142">
        <f>AJ133+B133</f>
        <v>554588.68184452737</v>
      </c>
    </row>
    <row r="134" spans="1:37" ht="19.5" customHeight="1" x14ac:dyDescent="0.4">
      <c r="A134" s="158"/>
      <c r="B134" s="159"/>
      <c r="C134" s="135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  <c r="O134" s="136"/>
      <c r="P134" s="136"/>
      <c r="Q134" s="136"/>
      <c r="R134" s="136"/>
      <c r="S134" s="136"/>
      <c r="T134" s="136"/>
      <c r="U134" s="136"/>
      <c r="V134" s="136"/>
      <c r="W134" s="136"/>
      <c r="X134" s="136"/>
      <c r="Y134" s="136"/>
      <c r="Z134" s="136"/>
      <c r="AA134" s="136"/>
      <c r="AB134" s="136"/>
      <c r="AC134" s="136"/>
      <c r="AD134" s="136"/>
      <c r="AE134" s="136"/>
      <c r="AF134" s="136"/>
      <c r="AG134" s="136"/>
      <c r="AH134" s="136"/>
      <c r="AI134" s="137"/>
      <c r="AJ134" s="144" t="str">
        <f t="shared" ref="AJ134" si="125">IF(COUNTIF(C134:AI134,"Yes")&lt;1,"",CONCATENATE("Count of 'Yes' : ",COUNTIF(C134:AI134,"Yes")))</f>
        <v/>
      </c>
      <c r="AK134" s="143"/>
    </row>
    <row r="135" spans="1:37" x14ac:dyDescent="0.4">
      <c r="A135" s="160" t="s">
        <v>76</v>
      </c>
      <c r="B135" s="161">
        <f>'Step1 - Def and Mod Analysis'!U74</f>
        <v>0</v>
      </c>
      <c r="C135" s="162">
        <v>0</v>
      </c>
      <c r="D135" s="163">
        <v>0</v>
      </c>
      <c r="E135" s="163">
        <v>0</v>
      </c>
      <c r="F135" s="163">
        <v>0</v>
      </c>
      <c r="G135" s="163">
        <v>137200</v>
      </c>
      <c r="H135" s="163">
        <v>0</v>
      </c>
      <c r="I135" s="163">
        <v>0</v>
      </c>
      <c r="J135" s="163">
        <v>2587200</v>
      </c>
      <c r="K135" s="163">
        <v>0</v>
      </c>
      <c r="L135" s="163">
        <v>0</v>
      </c>
      <c r="M135" s="163">
        <v>0</v>
      </c>
      <c r="N135" s="163">
        <v>0</v>
      </c>
      <c r="O135" s="163">
        <v>705600</v>
      </c>
      <c r="P135" s="163">
        <v>0</v>
      </c>
      <c r="Q135" s="163">
        <v>0</v>
      </c>
      <c r="R135" s="163">
        <v>0</v>
      </c>
      <c r="S135" s="163">
        <v>0</v>
      </c>
      <c r="T135" s="163">
        <v>105381163</v>
      </c>
      <c r="U135" s="163">
        <v>0</v>
      </c>
      <c r="V135" s="163">
        <v>0</v>
      </c>
      <c r="W135" s="163">
        <v>0</v>
      </c>
      <c r="X135" s="156">
        <f>IFERROR(VLOOKUP(A135,Table7[],2,FALSE),0)</f>
        <v>3760501.9075199999</v>
      </c>
      <c r="Y135" s="163">
        <v>0</v>
      </c>
      <c r="Z135" s="163">
        <v>0</v>
      </c>
      <c r="AA135" s="163">
        <v>0</v>
      </c>
      <c r="AB135" s="163">
        <v>0</v>
      </c>
      <c r="AC135" s="163">
        <v>0</v>
      </c>
      <c r="AD135" s="163">
        <v>1255968</v>
      </c>
      <c r="AE135" s="163">
        <v>0</v>
      </c>
      <c r="AF135" s="163">
        <v>0</v>
      </c>
      <c r="AG135" s="163">
        <v>0</v>
      </c>
      <c r="AH135" s="163">
        <v>0</v>
      </c>
      <c r="AI135" s="164">
        <v>0</v>
      </c>
      <c r="AJ135" s="141">
        <f t="shared" ref="AJ135" si="126">SUMIF(C136:AI136,"Yes",C135:AI135)</f>
        <v>0</v>
      </c>
      <c r="AK135" s="142">
        <f>AJ135+B135</f>
        <v>0</v>
      </c>
    </row>
    <row r="136" spans="1:37" ht="19.5" customHeight="1" x14ac:dyDescent="0.4">
      <c r="A136" s="158"/>
      <c r="B136" s="159"/>
      <c r="C136" s="135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6"/>
      <c r="O136" s="136"/>
      <c r="P136" s="136"/>
      <c r="Q136" s="136"/>
      <c r="R136" s="136"/>
      <c r="S136" s="136"/>
      <c r="T136" s="136"/>
      <c r="U136" s="136"/>
      <c r="V136" s="136"/>
      <c r="W136" s="136"/>
      <c r="X136" s="136"/>
      <c r="Y136" s="136"/>
      <c r="Z136" s="136"/>
      <c r="AA136" s="136"/>
      <c r="AB136" s="136"/>
      <c r="AC136" s="136"/>
      <c r="AD136" s="136"/>
      <c r="AE136" s="136"/>
      <c r="AF136" s="136"/>
      <c r="AG136" s="136"/>
      <c r="AH136" s="136"/>
      <c r="AI136" s="137"/>
      <c r="AJ136" s="144" t="str">
        <f t="shared" ref="AJ136" si="127">IF(COUNTIF(C136:AI136,"Yes")&lt;1,"",CONCATENATE("Count of 'Yes' : ",COUNTIF(C136:AI136,"Yes")))</f>
        <v/>
      </c>
      <c r="AK136" s="143"/>
    </row>
    <row r="137" spans="1:37" x14ac:dyDescent="0.4">
      <c r="A137" s="160" t="s">
        <v>77</v>
      </c>
      <c r="B137" s="161">
        <f>'Step1 - Def and Mod Analysis'!U75</f>
        <v>407333.488975488</v>
      </c>
      <c r="C137" s="162">
        <v>0</v>
      </c>
      <c r="D137" s="163">
        <v>0</v>
      </c>
      <c r="E137" s="163">
        <v>0</v>
      </c>
      <c r="F137" s="163">
        <v>0</v>
      </c>
      <c r="G137" s="163">
        <v>0</v>
      </c>
      <c r="H137" s="163">
        <v>0</v>
      </c>
      <c r="I137" s="163">
        <v>0</v>
      </c>
      <c r="J137" s="163">
        <v>0</v>
      </c>
      <c r="K137" s="163">
        <v>0</v>
      </c>
      <c r="L137" s="163">
        <v>0</v>
      </c>
      <c r="M137" s="163">
        <v>0</v>
      </c>
      <c r="N137" s="163">
        <v>0</v>
      </c>
      <c r="O137" s="163">
        <v>0</v>
      </c>
      <c r="P137" s="163">
        <v>0</v>
      </c>
      <c r="Q137" s="163">
        <v>0</v>
      </c>
      <c r="R137" s="163">
        <v>0</v>
      </c>
      <c r="S137" s="163">
        <v>0</v>
      </c>
      <c r="T137" s="163">
        <v>0</v>
      </c>
      <c r="U137" s="163">
        <v>0</v>
      </c>
      <c r="V137" s="163">
        <v>0</v>
      </c>
      <c r="W137" s="163">
        <v>0</v>
      </c>
      <c r="X137" s="156">
        <f>IFERROR(VLOOKUP(A137,Table7[],2,FALSE),0)</f>
        <v>195414.46652640001</v>
      </c>
      <c r="Y137" s="163">
        <v>0</v>
      </c>
      <c r="Z137" s="163">
        <v>0</v>
      </c>
      <c r="AA137" s="163">
        <v>0</v>
      </c>
      <c r="AB137" s="163">
        <v>0</v>
      </c>
      <c r="AC137" s="163">
        <v>0</v>
      </c>
      <c r="AD137" s="163">
        <v>0</v>
      </c>
      <c r="AE137" s="163">
        <v>0</v>
      </c>
      <c r="AF137" s="163">
        <v>0</v>
      </c>
      <c r="AG137" s="163">
        <v>4226348</v>
      </c>
      <c r="AH137" s="163">
        <v>0</v>
      </c>
      <c r="AI137" s="164">
        <v>0</v>
      </c>
      <c r="AJ137" s="141">
        <f t="shared" ref="AJ137" si="128">SUMIF(C138:AI138,"Yes",C137:AI137)</f>
        <v>0</v>
      </c>
      <c r="AK137" s="142">
        <f>AJ137+B137</f>
        <v>407333.488975488</v>
      </c>
    </row>
    <row r="138" spans="1:37" ht="19.5" customHeight="1" x14ac:dyDescent="0.4">
      <c r="A138" s="158"/>
      <c r="B138" s="159"/>
      <c r="C138" s="135"/>
      <c r="D138" s="136"/>
      <c r="E138" s="136"/>
      <c r="F138" s="136"/>
      <c r="G138" s="136"/>
      <c r="H138" s="136"/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6"/>
      <c r="T138" s="136"/>
      <c r="U138" s="136"/>
      <c r="V138" s="136"/>
      <c r="W138" s="136"/>
      <c r="X138" s="136"/>
      <c r="Y138" s="136"/>
      <c r="Z138" s="136"/>
      <c r="AA138" s="136"/>
      <c r="AB138" s="136"/>
      <c r="AC138" s="136"/>
      <c r="AD138" s="136"/>
      <c r="AE138" s="136"/>
      <c r="AF138" s="136"/>
      <c r="AG138" s="136"/>
      <c r="AH138" s="136"/>
      <c r="AI138" s="137"/>
      <c r="AJ138" s="144" t="str">
        <f t="shared" ref="AJ138" si="129">IF(COUNTIF(C138:AI138,"Yes")&lt;1,"",CONCATENATE("Count of 'Yes' : ",COUNTIF(C138:AI138,"Yes")))</f>
        <v/>
      </c>
      <c r="AK138" s="143"/>
    </row>
    <row r="139" spans="1:37" x14ac:dyDescent="0.4">
      <c r="A139" s="160" t="s">
        <v>78</v>
      </c>
      <c r="B139" s="161">
        <f>'Step1 - Def and Mod Analysis'!U76</f>
        <v>0</v>
      </c>
      <c r="C139" s="162">
        <v>0</v>
      </c>
      <c r="D139" s="163">
        <v>0</v>
      </c>
      <c r="E139" s="163">
        <v>0</v>
      </c>
      <c r="F139" s="163">
        <v>0</v>
      </c>
      <c r="G139" s="163">
        <v>137200</v>
      </c>
      <c r="H139" s="163">
        <v>0</v>
      </c>
      <c r="I139" s="163">
        <v>0</v>
      </c>
      <c r="J139" s="163">
        <v>0</v>
      </c>
      <c r="K139" s="163">
        <v>0</v>
      </c>
      <c r="L139" s="163">
        <v>0</v>
      </c>
      <c r="M139" s="163">
        <v>0</v>
      </c>
      <c r="N139" s="163">
        <v>0</v>
      </c>
      <c r="O139" s="163">
        <v>0</v>
      </c>
      <c r="P139" s="163">
        <v>0</v>
      </c>
      <c r="Q139" s="163">
        <v>0</v>
      </c>
      <c r="R139" s="163">
        <v>46021767</v>
      </c>
      <c r="S139" s="163">
        <v>0</v>
      </c>
      <c r="T139" s="163">
        <v>0</v>
      </c>
      <c r="U139" s="163">
        <v>0</v>
      </c>
      <c r="V139" s="163">
        <v>0</v>
      </c>
      <c r="W139" s="163">
        <v>0</v>
      </c>
      <c r="X139" s="156">
        <f>IFERROR(VLOOKUP(A139,Table7[],2,FALSE),0)</f>
        <v>541662.51645600004</v>
      </c>
      <c r="Y139" s="163">
        <v>0</v>
      </c>
      <c r="Z139" s="163">
        <v>0</v>
      </c>
      <c r="AA139" s="163">
        <v>0</v>
      </c>
      <c r="AB139" s="163">
        <v>0</v>
      </c>
      <c r="AC139" s="163">
        <v>0</v>
      </c>
      <c r="AD139" s="163">
        <v>1481760</v>
      </c>
      <c r="AE139" s="163">
        <v>205800</v>
      </c>
      <c r="AF139" s="163">
        <v>0</v>
      </c>
      <c r="AG139" s="163">
        <v>0</v>
      </c>
      <c r="AH139" s="163">
        <v>0</v>
      </c>
      <c r="AI139" s="164">
        <v>519400</v>
      </c>
      <c r="AJ139" s="141">
        <f t="shared" ref="AJ139" si="130">SUMIF(C140:AI140,"Yes",C139:AI139)</f>
        <v>0</v>
      </c>
      <c r="AK139" s="142">
        <f>AJ139+B139</f>
        <v>0</v>
      </c>
    </row>
    <row r="140" spans="1:37" ht="19.5" customHeight="1" x14ac:dyDescent="0.4">
      <c r="A140" s="158"/>
      <c r="B140" s="159"/>
      <c r="C140" s="135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  <c r="O140" s="136"/>
      <c r="P140" s="136"/>
      <c r="Q140" s="136"/>
      <c r="R140" s="136"/>
      <c r="S140" s="136"/>
      <c r="T140" s="136"/>
      <c r="U140" s="136"/>
      <c r="V140" s="136"/>
      <c r="W140" s="136"/>
      <c r="X140" s="136"/>
      <c r="Y140" s="136"/>
      <c r="Z140" s="136"/>
      <c r="AA140" s="136"/>
      <c r="AB140" s="136"/>
      <c r="AC140" s="136"/>
      <c r="AD140" s="136"/>
      <c r="AE140" s="136"/>
      <c r="AF140" s="136"/>
      <c r="AG140" s="136"/>
      <c r="AH140" s="136"/>
      <c r="AI140" s="137"/>
      <c r="AJ140" s="144" t="str">
        <f t="shared" ref="AJ140" si="131">IF(COUNTIF(C140:AI140,"Yes")&lt;1,"",CONCATENATE("Count of 'Yes' : ",COUNTIF(C140:AI140,"Yes")))</f>
        <v/>
      </c>
      <c r="AK140" s="143"/>
    </row>
    <row r="141" spans="1:37" x14ac:dyDescent="0.4">
      <c r="A141" s="160" t="s">
        <v>79</v>
      </c>
      <c r="B141" s="161">
        <f>'Step1 - Def and Mod Analysis'!U77</f>
        <v>28332840.190810729</v>
      </c>
      <c r="C141" s="162">
        <v>0</v>
      </c>
      <c r="D141" s="163">
        <v>0</v>
      </c>
      <c r="E141" s="163">
        <v>0</v>
      </c>
      <c r="F141" s="163">
        <v>0</v>
      </c>
      <c r="G141" s="163">
        <v>0</v>
      </c>
      <c r="H141" s="163">
        <v>0</v>
      </c>
      <c r="I141" s="163">
        <v>0</v>
      </c>
      <c r="J141" s="163">
        <v>0</v>
      </c>
      <c r="K141" s="163">
        <v>3684800</v>
      </c>
      <c r="L141" s="163">
        <v>0</v>
      </c>
      <c r="M141" s="163">
        <v>0</v>
      </c>
      <c r="N141" s="163">
        <v>0</v>
      </c>
      <c r="O141" s="163">
        <v>0</v>
      </c>
      <c r="P141" s="163">
        <v>0</v>
      </c>
      <c r="Q141" s="163">
        <v>0</v>
      </c>
      <c r="R141" s="163">
        <v>0</v>
      </c>
      <c r="S141" s="163">
        <v>0</v>
      </c>
      <c r="T141" s="163">
        <v>0</v>
      </c>
      <c r="U141" s="163">
        <v>0</v>
      </c>
      <c r="V141" s="163">
        <v>0</v>
      </c>
      <c r="W141" s="163">
        <v>0</v>
      </c>
      <c r="X141" s="156">
        <f>IFERROR(VLOOKUP(A141,Table7[],2,FALSE),0)</f>
        <v>1063353.2660400001</v>
      </c>
      <c r="Y141" s="163">
        <v>0</v>
      </c>
      <c r="Z141" s="163">
        <v>0</v>
      </c>
      <c r="AA141" s="163">
        <v>0</v>
      </c>
      <c r="AB141" s="163">
        <v>0</v>
      </c>
      <c r="AC141" s="163">
        <v>390040</v>
      </c>
      <c r="AD141" s="163">
        <v>0</v>
      </c>
      <c r="AE141" s="163">
        <v>0</v>
      </c>
      <c r="AF141" s="163">
        <v>0</v>
      </c>
      <c r="AG141" s="163">
        <v>0</v>
      </c>
      <c r="AH141" s="163">
        <v>0</v>
      </c>
      <c r="AI141" s="164">
        <v>0</v>
      </c>
      <c r="AJ141" s="141">
        <f t="shared" ref="AJ141" si="132">SUMIF(C142:AI142,"Yes",C141:AI141)</f>
        <v>0</v>
      </c>
      <c r="AK141" s="142">
        <f>AJ141+B141</f>
        <v>28332840.190810729</v>
      </c>
    </row>
    <row r="142" spans="1:37" ht="19.5" customHeight="1" x14ac:dyDescent="0.4">
      <c r="A142" s="158"/>
      <c r="B142" s="159"/>
      <c r="C142" s="135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36"/>
      <c r="O142" s="136"/>
      <c r="P142" s="136"/>
      <c r="Q142" s="136"/>
      <c r="R142" s="136"/>
      <c r="S142" s="136"/>
      <c r="T142" s="136"/>
      <c r="U142" s="136"/>
      <c r="V142" s="136"/>
      <c r="W142" s="136"/>
      <c r="X142" s="136"/>
      <c r="Y142" s="136"/>
      <c r="Z142" s="136"/>
      <c r="AA142" s="136"/>
      <c r="AB142" s="136"/>
      <c r="AC142" s="136"/>
      <c r="AD142" s="136"/>
      <c r="AE142" s="136"/>
      <c r="AF142" s="136"/>
      <c r="AG142" s="136"/>
      <c r="AH142" s="136"/>
      <c r="AI142" s="137"/>
      <c r="AJ142" s="144" t="str">
        <f t="shared" ref="AJ142" si="133">IF(COUNTIF(C142:AI142,"Yes")&lt;1,"",CONCATENATE("Count of 'Yes' : ",COUNTIF(C142:AI142,"Yes")))</f>
        <v/>
      </c>
      <c r="AK142" s="143"/>
    </row>
    <row r="143" spans="1:37" x14ac:dyDescent="0.4">
      <c r="A143" s="160" t="s">
        <v>80</v>
      </c>
      <c r="B143" s="161">
        <f>'Step1 - Def and Mod Analysis'!U78</f>
        <v>0</v>
      </c>
      <c r="C143" s="162">
        <v>0</v>
      </c>
      <c r="D143" s="163">
        <v>0</v>
      </c>
      <c r="E143" s="163">
        <v>0</v>
      </c>
      <c r="F143" s="163">
        <v>0</v>
      </c>
      <c r="G143" s="163">
        <v>0</v>
      </c>
      <c r="H143" s="163">
        <v>0</v>
      </c>
      <c r="I143" s="163">
        <v>0</v>
      </c>
      <c r="J143" s="163">
        <v>0</v>
      </c>
      <c r="K143" s="163">
        <v>0</v>
      </c>
      <c r="L143" s="163">
        <v>0</v>
      </c>
      <c r="M143" s="163">
        <v>0</v>
      </c>
      <c r="N143" s="163">
        <v>0</v>
      </c>
      <c r="O143" s="163">
        <v>0</v>
      </c>
      <c r="P143" s="163">
        <v>0</v>
      </c>
      <c r="Q143" s="163">
        <v>0</v>
      </c>
      <c r="R143" s="163">
        <v>0</v>
      </c>
      <c r="S143" s="163">
        <v>0</v>
      </c>
      <c r="T143" s="163">
        <v>0</v>
      </c>
      <c r="U143" s="163">
        <v>0</v>
      </c>
      <c r="V143" s="163">
        <v>0</v>
      </c>
      <c r="W143" s="163">
        <v>0</v>
      </c>
      <c r="X143" s="156">
        <f>IFERROR(VLOOKUP(A143,Table7[],2,FALSE),0)</f>
        <v>0</v>
      </c>
      <c r="Y143" s="163">
        <v>0</v>
      </c>
      <c r="Z143" s="163">
        <v>0</v>
      </c>
      <c r="AA143" s="163">
        <v>0</v>
      </c>
      <c r="AB143" s="163">
        <v>0</v>
      </c>
      <c r="AC143" s="163">
        <v>0</v>
      </c>
      <c r="AD143" s="163">
        <v>0</v>
      </c>
      <c r="AE143" s="163">
        <v>0</v>
      </c>
      <c r="AF143" s="163">
        <v>0</v>
      </c>
      <c r="AG143" s="163">
        <v>0</v>
      </c>
      <c r="AH143" s="163">
        <v>0</v>
      </c>
      <c r="AI143" s="164">
        <v>0</v>
      </c>
      <c r="AJ143" s="141">
        <f t="shared" ref="AJ143" si="134">SUMIF(C144:AI144,"Yes",C143:AI143)</f>
        <v>0</v>
      </c>
      <c r="AK143" s="142">
        <f>AJ143+B143</f>
        <v>0</v>
      </c>
    </row>
    <row r="144" spans="1:37" ht="19.5" customHeight="1" x14ac:dyDescent="0.4">
      <c r="A144" s="158"/>
      <c r="B144" s="159"/>
      <c r="C144" s="135"/>
      <c r="D144" s="136"/>
      <c r="E144" s="136"/>
      <c r="F144" s="136"/>
      <c r="G144" s="136"/>
      <c r="H144" s="136"/>
      <c r="I144" s="136"/>
      <c r="J144" s="136"/>
      <c r="K144" s="136"/>
      <c r="L144" s="136"/>
      <c r="M144" s="136"/>
      <c r="N144" s="136"/>
      <c r="O144" s="136"/>
      <c r="P144" s="136"/>
      <c r="Q144" s="136"/>
      <c r="R144" s="136"/>
      <c r="S144" s="136"/>
      <c r="T144" s="136"/>
      <c r="U144" s="136"/>
      <c r="V144" s="136"/>
      <c r="W144" s="136"/>
      <c r="X144" s="136"/>
      <c r="Y144" s="136"/>
      <c r="Z144" s="136"/>
      <c r="AA144" s="136"/>
      <c r="AB144" s="136"/>
      <c r="AC144" s="136"/>
      <c r="AD144" s="136"/>
      <c r="AE144" s="136"/>
      <c r="AF144" s="136"/>
      <c r="AG144" s="136"/>
      <c r="AH144" s="136"/>
      <c r="AI144" s="137"/>
      <c r="AJ144" s="144" t="str">
        <f t="shared" ref="AJ144" si="135">IF(COUNTIF(C144:AI144,"Yes")&lt;1,"",CONCATENATE("Count of 'Yes' : ",COUNTIF(C144:AI144,"Yes")))</f>
        <v/>
      </c>
      <c r="AK144" s="143"/>
    </row>
    <row r="145" spans="1:37" x14ac:dyDescent="0.4">
      <c r="A145" s="160" t="s">
        <v>81</v>
      </c>
      <c r="B145" s="161">
        <f>'Step1 - Def and Mod Analysis'!U79</f>
        <v>6803145.6025426853</v>
      </c>
      <c r="C145" s="162">
        <v>0</v>
      </c>
      <c r="D145" s="163">
        <v>0</v>
      </c>
      <c r="E145" s="163">
        <v>0</v>
      </c>
      <c r="F145" s="163">
        <v>0</v>
      </c>
      <c r="G145" s="163">
        <v>137200</v>
      </c>
      <c r="H145" s="163">
        <v>0</v>
      </c>
      <c r="I145" s="163">
        <v>0</v>
      </c>
      <c r="J145" s="163">
        <v>0</v>
      </c>
      <c r="K145" s="163">
        <v>0</v>
      </c>
      <c r="L145" s="163">
        <v>0</v>
      </c>
      <c r="M145" s="163">
        <v>0</v>
      </c>
      <c r="N145" s="163">
        <v>0</v>
      </c>
      <c r="O145" s="163">
        <v>0</v>
      </c>
      <c r="P145" s="163">
        <v>0</v>
      </c>
      <c r="Q145" s="163">
        <v>0</v>
      </c>
      <c r="R145" s="163">
        <v>0</v>
      </c>
      <c r="S145" s="163">
        <v>0</v>
      </c>
      <c r="T145" s="163">
        <v>105381163</v>
      </c>
      <c r="U145" s="163">
        <v>0</v>
      </c>
      <c r="V145" s="163">
        <v>0</v>
      </c>
      <c r="W145" s="163">
        <v>0</v>
      </c>
      <c r="X145" s="156">
        <f>IFERROR(VLOOKUP(A145,Table7[],2,FALSE),0)</f>
        <v>101763.85368000001</v>
      </c>
      <c r="Y145" s="163">
        <v>0</v>
      </c>
      <c r="Z145" s="163">
        <v>0</v>
      </c>
      <c r="AA145" s="163">
        <v>0</v>
      </c>
      <c r="AB145" s="163">
        <v>0</v>
      </c>
      <c r="AC145" s="163">
        <v>0</v>
      </c>
      <c r="AD145" s="163">
        <v>0</v>
      </c>
      <c r="AE145" s="163">
        <v>205800</v>
      </c>
      <c r="AF145" s="163">
        <v>0</v>
      </c>
      <c r="AG145" s="163">
        <v>0</v>
      </c>
      <c r="AH145" s="163">
        <v>0</v>
      </c>
      <c r="AI145" s="164">
        <v>0</v>
      </c>
      <c r="AJ145" s="141">
        <f t="shared" ref="AJ145" si="136">SUMIF(C146:AI146,"Yes",C145:AI145)</f>
        <v>0</v>
      </c>
      <c r="AK145" s="142">
        <f>AJ145+B145</f>
        <v>6803145.6025426853</v>
      </c>
    </row>
    <row r="146" spans="1:37" ht="19.5" customHeight="1" x14ac:dyDescent="0.4">
      <c r="A146" s="158"/>
      <c r="B146" s="159"/>
      <c r="C146" s="135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36"/>
      <c r="O146" s="136"/>
      <c r="P146" s="136"/>
      <c r="Q146" s="136"/>
      <c r="R146" s="136"/>
      <c r="S146" s="136"/>
      <c r="T146" s="136"/>
      <c r="U146" s="136"/>
      <c r="V146" s="136"/>
      <c r="W146" s="136"/>
      <c r="X146" s="136"/>
      <c r="Y146" s="136"/>
      <c r="Z146" s="136"/>
      <c r="AA146" s="136"/>
      <c r="AB146" s="136"/>
      <c r="AC146" s="136"/>
      <c r="AD146" s="136"/>
      <c r="AE146" s="136"/>
      <c r="AF146" s="136"/>
      <c r="AG146" s="136"/>
      <c r="AH146" s="136"/>
      <c r="AI146" s="137"/>
      <c r="AJ146" s="144" t="str">
        <f t="shared" ref="AJ146" si="137">IF(COUNTIF(C146:AI146,"Yes")&lt;1,"",CONCATENATE("Count of 'Yes' : ",COUNTIF(C146:AI146,"Yes")))</f>
        <v/>
      </c>
      <c r="AK146" s="143"/>
    </row>
    <row r="147" spans="1:37" x14ac:dyDescent="0.4">
      <c r="A147" s="160" t="s">
        <v>82</v>
      </c>
      <c r="B147" s="161">
        <f>'Step1 - Def and Mod Analysis'!U80</f>
        <v>1312692.4455806476</v>
      </c>
      <c r="C147" s="162">
        <v>0</v>
      </c>
      <c r="D147" s="163">
        <v>0</v>
      </c>
      <c r="E147" s="163">
        <v>0</v>
      </c>
      <c r="F147" s="163">
        <v>0</v>
      </c>
      <c r="G147" s="163">
        <v>0</v>
      </c>
      <c r="H147" s="163">
        <v>0</v>
      </c>
      <c r="I147" s="163">
        <v>0</v>
      </c>
      <c r="J147" s="163">
        <v>0</v>
      </c>
      <c r="K147" s="163">
        <v>0</v>
      </c>
      <c r="L147" s="163">
        <v>0</v>
      </c>
      <c r="M147" s="163">
        <v>0</v>
      </c>
      <c r="N147" s="163">
        <v>0</v>
      </c>
      <c r="O147" s="163">
        <v>0</v>
      </c>
      <c r="P147" s="163">
        <v>0</v>
      </c>
      <c r="Q147" s="163">
        <v>0</v>
      </c>
      <c r="R147" s="163">
        <v>0</v>
      </c>
      <c r="S147" s="163">
        <v>0</v>
      </c>
      <c r="T147" s="163">
        <v>0</v>
      </c>
      <c r="U147" s="163">
        <v>0</v>
      </c>
      <c r="V147" s="163">
        <v>0</v>
      </c>
      <c r="W147" s="163">
        <v>0</v>
      </c>
      <c r="X147" s="156">
        <f>IFERROR(VLOOKUP(A147,Table7[],2,FALSE),0)</f>
        <v>0</v>
      </c>
      <c r="Y147" s="163">
        <v>0</v>
      </c>
      <c r="Z147" s="163">
        <v>0</v>
      </c>
      <c r="AA147" s="163">
        <v>0</v>
      </c>
      <c r="AB147" s="163">
        <v>0</v>
      </c>
      <c r="AC147" s="163">
        <v>0</v>
      </c>
      <c r="AD147" s="163">
        <v>0</v>
      </c>
      <c r="AE147" s="163">
        <v>0</v>
      </c>
      <c r="AF147" s="163">
        <v>0</v>
      </c>
      <c r="AG147" s="163">
        <v>0</v>
      </c>
      <c r="AH147" s="163">
        <v>0</v>
      </c>
      <c r="AI147" s="164">
        <v>0</v>
      </c>
      <c r="AJ147" s="141">
        <f t="shared" ref="AJ147" si="138">SUMIF(C148:AI148,"Yes",C147:AI147)</f>
        <v>0</v>
      </c>
      <c r="AK147" s="142">
        <f>AJ147+B147</f>
        <v>1312692.4455806476</v>
      </c>
    </row>
    <row r="148" spans="1:37" ht="19.5" customHeight="1" x14ac:dyDescent="0.4">
      <c r="A148" s="158"/>
      <c r="B148" s="159"/>
      <c r="C148" s="135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6"/>
      <c r="V148" s="136"/>
      <c r="W148" s="136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7"/>
      <c r="AJ148" s="144" t="str">
        <f t="shared" ref="AJ148" si="139">IF(COUNTIF(C148:AI148,"Yes")&lt;1,"",CONCATENATE("Count of 'Yes' : ",COUNTIF(C148:AI148,"Yes")))</f>
        <v/>
      </c>
      <c r="AK148" s="143"/>
    </row>
    <row r="149" spans="1:37" x14ac:dyDescent="0.4">
      <c r="A149" s="160" t="s">
        <v>83</v>
      </c>
      <c r="B149" s="161">
        <f>'Step1 - Def and Mod Analysis'!U81</f>
        <v>3511932.2976000002</v>
      </c>
      <c r="C149" s="162">
        <v>0</v>
      </c>
      <c r="D149" s="163">
        <v>0</v>
      </c>
      <c r="E149" s="163">
        <v>0</v>
      </c>
      <c r="F149" s="163">
        <v>0</v>
      </c>
      <c r="G149" s="163">
        <v>0</v>
      </c>
      <c r="H149" s="163">
        <v>0</v>
      </c>
      <c r="I149" s="163">
        <v>0</v>
      </c>
      <c r="J149" s="163">
        <v>0</v>
      </c>
      <c r="K149" s="163">
        <v>0</v>
      </c>
      <c r="L149" s="163">
        <v>0</v>
      </c>
      <c r="M149" s="163">
        <v>0</v>
      </c>
      <c r="N149" s="163">
        <v>0</v>
      </c>
      <c r="O149" s="163">
        <v>0</v>
      </c>
      <c r="P149" s="163">
        <v>0</v>
      </c>
      <c r="Q149" s="163">
        <v>0</v>
      </c>
      <c r="R149" s="163">
        <v>0</v>
      </c>
      <c r="S149" s="163">
        <v>0</v>
      </c>
      <c r="T149" s="163">
        <v>0</v>
      </c>
      <c r="U149" s="163">
        <v>0</v>
      </c>
      <c r="V149" s="163">
        <v>0</v>
      </c>
      <c r="W149" s="163">
        <v>0</v>
      </c>
      <c r="X149" s="156">
        <f>IFERROR(VLOOKUP(A149,Table7[],2,FALSE),0)</f>
        <v>0</v>
      </c>
      <c r="Y149" s="163">
        <v>0</v>
      </c>
      <c r="Z149" s="163">
        <v>0</v>
      </c>
      <c r="AA149" s="163">
        <v>0</v>
      </c>
      <c r="AB149" s="163">
        <v>0</v>
      </c>
      <c r="AC149" s="163">
        <v>390040</v>
      </c>
      <c r="AD149" s="163">
        <v>0</v>
      </c>
      <c r="AE149" s="163">
        <v>0</v>
      </c>
      <c r="AF149" s="163">
        <v>0</v>
      </c>
      <c r="AG149" s="163">
        <v>0</v>
      </c>
      <c r="AH149" s="163">
        <v>0</v>
      </c>
      <c r="AI149" s="164">
        <v>0</v>
      </c>
      <c r="AJ149" s="141">
        <f t="shared" ref="AJ149" si="140">SUMIF(C150:AI150,"Yes",C149:AI149)</f>
        <v>0</v>
      </c>
      <c r="AK149" s="142">
        <f>AJ149+B149</f>
        <v>3511932.2976000002</v>
      </c>
    </row>
    <row r="150" spans="1:37" ht="19.5" customHeight="1" x14ac:dyDescent="0.4">
      <c r="A150" s="158"/>
      <c r="B150" s="159"/>
      <c r="C150" s="135"/>
      <c r="D150" s="136"/>
      <c r="E150" s="136"/>
      <c r="F150" s="136"/>
      <c r="G150" s="136"/>
      <c r="H150" s="136"/>
      <c r="I150" s="136"/>
      <c r="J150" s="136"/>
      <c r="K150" s="136"/>
      <c r="L150" s="136"/>
      <c r="M150" s="136"/>
      <c r="N150" s="136"/>
      <c r="O150" s="136"/>
      <c r="P150" s="136"/>
      <c r="Q150" s="136"/>
      <c r="R150" s="136"/>
      <c r="S150" s="136"/>
      <c r="T150" s="136"/>
      <c r="U150" s="136"/>
      <c r="V150" s="136"/>
      <c r="W150" s="136"/>
      <c r="X150" s="136"/>
      <c r="Y150" s="136"/>
      <c r="Z150" s="136"/>
      <c r="AA150" s="136"/>
      <c r="AB150" s="136"/>
      <c r="AC150" s="136"/>
      <c r="AD150" s="136"/>
      <c r="AE150" s="136"/>
      <c r="AF150" s="136"/>
      <c r="AG150" s="136"/>
      <c r="AH150" s="136"/>
      <c r="AI150" s="137"/>
      <c r="AJ150" s="144" t="str">
        <f t="shared" ref="AJ150" si="141">IF(COUNTIF(C150:AI150,"Yes")&lt;1,"",CONCATENATE("Count of 'Yes' : ",COUNTIF(C150:AI150,"Yes")))</f>
        <v/>
      </c>
      <c r="AK150" s="143"/>
    </row>
    <row r="151" spans="1:37" x14ac:dyDescent="0.4">
      <c r="A151" s="160" t="s">
        <v>84</v>
      </c>
      <c r="B151" s="161">
        <f>'Step1 - Def and Mod Analysis'!U82</f>
        <v>19840126.164525568</v>
      </c>
      <c r="C151" s="162">
        <v>0</v>
      </c>
      <c r="D151" s="163">
        <v>0</v>
      </c>
      <c r="E151" s="163">
        <v>8859200</v>
      </c>
      <c r="F151" s="163">
        <v>0</v>
      </c>
      <c r="G151" s="163">
        <v>137200</v>
      </c>
      <c r="H151" s="163">
        <v>0</v>
      </c>
      <c r="I151" s="163">
        <v>0</v>
      </c>
      <c r="J151" s="163">
        <v>7007000</v>
      </c>
      <c r="K151" s="163">
        <v>3684800</v>
      </c>
      <c r="L151" s="163">
        <v>0</v>
      </c>
      <c r="M151" s="163">
        <v>0</v>
      </c>
      <c r="N151" s="163">
        <v>0</v>
      </c>
      <c r="O151" s="163">
        <v>15680000</v>
      </c>
      <c r="P151" s="163">
        <v>0</v>
      </c>
      <c r="Q151" s="163">
        <v>0</v>
      </c>
      <c r="R151" s="163">
        <v>0</v>
      </c>
      <c r="S151" s="163">
        <v>128897796</v>
      </c>
      <c r="T151" s="163">
        <v>0</v>
      </c>
      <c r="U151" s="163">
        <v>0</v>
      </c>
      <c r="V151" s="163">
        <v>0</v>
      </c>
      <c r="W151" s="163">
        <v>0</v>
      </c>
      <c r="X151" s="156">
        <f>IFERROR(VLOOKUP(A151,Table7[],2,FALSE),0)</f>
        <v>1140275.3807999999</v>
      </c>
      <c r="Y151" s="163">
        <v>0</v>
      </c>
      <c r="Z151" s="163">
        <v>0</v>
      </c>
      <c r="AA151" s="163">
        <v>0</v>
      </c>
      <c r="AB151" s="163">
        <v>0</v>
      </c>
      <c r="AC151" s="163">
        <v>390040</v>
      </c>
      <c r="AD151" s="163">
        <v>2159136</v>
      </c>
      <c r="AE151" s="163">
        <v>205800</v>
      </c>
      <c r="AF151" s="163">
        <v>0</v>
      </c>
      <c r="AG151" s="163">
        <v>0</v>
      </c>
      <c r="AH151" s="163">
        <v>4809095.2</v>
      </c>
      <c r="AI151" s="164">
        <v>415000</v>
      </c>
      <c r="AJ151" s="141">
        <f t="shared" ref="AJ151" si="142">SUMIF(C152:AI152,"Yes",C151:AI151)</f>
        <v>0</v>
      </c>
      <c r="AK151" s="142">
        <f>AJ151+B151</f>
        <v>19840126.164525568</v>
      </c>
    </row>
    <row r="152" spans="1:37" ht="19.5" customHeight="1" x14ac:dyDescent="0.4">
      <c r="A152" s="158"/>
      <c r="B152" s="159"/>
      <c r="C152" s="135"/>
      <c r="D152" s="136"/>
      <c r="E152" s="136"/>
      <c r="F152" s="136"/>
      <c r="G152" s="136"/>
      <c r="H152" s="136"/>
      <c r="I152" s="136"/>
      <c r="J152" s="136"/>
      <c r="K152" s="136"/>
      <c r="L152" s="136"/>
      <c r="M152" s="136"/>
      <c r="N152" s="136"/>
      <c r="O152" s="136"/>
      <c r="P152" s="136"/>
      <c r="Q152" s="136"/>
      <c r="R152" s="136"/>
      <c r="S152" s="136"/>
      <c r="T152" s="136"/>
      <c r="U152" s="136"/>
      <c r="V152" s="136"/>
      <c r="W152" s="136"/>
      <c r="X152" s="136"/>
      <c r="Y152" s="136"/>
      <c r="Z152" s="136"/>
      <c r="AA152" s="136"/>
      <c r="AB152" s="136"/>
      <c r="AC152" s="136"/>
      <c r="AD152" s="136"/>
      <c r="AE152" s="136"/>
      <c r="AF152" s="136"/>
      <c r="AG152" s="136"/>
      <c r="AH152" s="136"/>
      <c r="AI152" s="137"/>
      <c r="AJ152" s="144" t="str">
        <f t="shared" ref="AJ152" si="143">IF(COUNTIF(C152:AI152,"Yes")&lt;1,"",CONCATENATE("Count of 'Yes' : ",COUNTIF(C152:AI152,"Yes")))</f>
        <v/>
      </c>
      <c r="AK152" s="143"/>
    </row>
    <row r="153" spans="1:37" x14ac:dyDescent="0.4">
      <c r="A153" s="160" t="s">
        <v>85</v>
      </c>
      <c r="B153" s="161">
        <f>'Step1 - Def and Mod Analysis'!U83</f>
        <v>0</v>
      </c>
      <c r="C153" s="162">
        <v>0</v>
      </c>
      <c r="D153" s="163">
        <v>0</v>
      </c>
      <c r="E153" s="163">
        <v>0</v>
      </c>
      <c r="F153" s="163">
        <v>0</v>
      </c>
      <c r="G153" s="163">
        <v>137200</v>
      </c>
      <c r="H153" s="163">
        <v>0</v>
      </c>
      <c r="I153" s="163">
        <v>0</v>
      </c>
      <c r="J153" s="163">
        <v>0</v>
      </c>
      <c r="K153" s="163">
        <v>0</v>
      </c>
      <c r="L153" s="163">
        <v>0</v>
      </c>
      <c r="M153" s="163">
        <v>0</v>
      </c>
      <c r="N153" s="163">
        <v>0</v>
      </c>
      <c r="O153" s="163">
        <v>0</v>
      </c>
      <c r="P153" s="163">
        <v>0</v>
      </c>
      <c r="Q153" s="163">
        <v>0</v>
      </c>
      <c r="R153" s="163">
        <v>0</v>
      </c>
      <c r="S153" s="163">
        <v>0</v>
      </c>
      <c r="T153" s="163">
        <v>0</v>
      </c>
      <c r="U153" s="163">
        <v>0</v>
      </c>
      <c r="V153" s="163">
        <v>0</v>
      </c>
      <c r="W153" s="163">
        <v>0</v>
      </c>
      <c r="X153" s="156">
        <f>IFERROR(VLOOKUP(A153,Table7[],2,FALSE),0)</f>
        <v>0</v>
      </c>
      <c r="Y153" s="163">
        <v>0</v>
      </c>
      <c r="Z153" s="163">
        <v>0</v>
      </c>
      <c r="AA153" s="163">
        <v>0</v>
      </c>
      <c r="AB153" s="163">
        <v>0</v>
      </c>
      <c r="AC153" s="163">
        <v>0</v>
      </c>
      <c r="AD153" s="163">
        <v>0</v>
      </c>
      <c r="AE153" s="163">
        <v>0</v>
      </c>
      <c r="AF153" s="163">
        <v>0</v>
      </c>
      <c r="AG153" s="163">
        <v>4226348</v>
      </c>
      <c r="AH153" s="163">
        <v>0</v>
      </c>
      <c r="AI153" s="164">
        <v>0</v>
      </c>
      <c r="AJ153" s="141">
        <f t="shared" ref="AJ153" si="144">SUMIF(C154:AI154,"Yes",C153:AI153)</f>
        <v>0</v>
      </c>
      <c r="AK153" s="142">
        <f>AJ153+B153</f>
        <v>0</v>
      </c>
    </row>
    <row r="154" spans="1:37" ht="19.5" customHeight="1" x14ac:dyDescent="0.4">
      <c r="A154" s="158"/>
      <c r="B154" s="159"/>
      <c r="C154" s="135"/>
      <c r="D154" s="136"/>
      <c r="E154" s="136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  <c r="V154" s="136"/>
      <c r="W154" s="136"/>
      <c r="X154" s="136"/>
      <c r="Y154" s="136"/>
      <c r="Z154" s="136"/>
      <c r="AA154" s="136"/>
      <c r="AB154" s="136"/>
      <c r="AC154" s="136"/>
      <c r="AD154" s="136"/>
      <c r="AE154" s="136"/>
      <c r="AF154" s="136"/>
      <c r="AG154" s="136"/>
      <c r="AH154" s="136"/>
      <c r="AI154" s="137"/>
      <c r="AJ154" s="144" t="str">
        <f t="shared" ref="AJ154" si="145">IF(COUNTIF(C154:AI154,"Yes")&lt;1,"",CONCATENATE("Count of 'Yes' : ",COUNTIF(C154:AI154,"Yes")))</f>
        <v/>
      </c>
      <c r="AK154" s="143"/>
    </row>
    <row r="155" spans="1:37" x14ac:dyDescent="0.4">
      <c r="A155" s="160" t="s">
        <v>86</v>
      </c>
      <c r="B155" s="161">
        <f>'Step1 - Def and Mod Analysis'!U84</f>
        <v>128897000</v>
      </c>
      <c r="C155" s="162">
        <v>9800000</v>
      </c>
      <c r="D155" s="163">
        <v>0</v>
      </c>
      <c r="E155" s="163">
        <v>4704000</v>
      </c>
      <c r="F155" s="163">
        <v>123480</v>
      </c>
      <c r="G155" s="163">
        <v>137200</v>
      </c>
      <c r="H155" s="163">
        <v>0</v>
      </c>
      <c r="I155" s="163">
        <v>0</v>
      </c>
      <c r="J155" s="163">
        <v>49000</v>
      </c>
      <c r="K155" s="163">
        <v>3684800</v>
      </c>
      <c r="L155" s="163">
        <v>0</v>
      </c>
      <c r="M155" s="163">
        <v>0</v>
      </c>
      <c r="N155" s="163">
        <v>0</v>
      </c>
      <c r="O155" s="163">
        <v>17248000</v>
      </c>
      <c r="P155" s="163">
        <v>0</v>
      </c>
      <c r="Q155" s="163">
        <v>0</v>
      </c>
      <c r="R155" s="163">
        <v>0</v>
      </c>
      <c r="S155" s="163">
        <v>128897796</v>
      </c>
      <c r="T155" s="163">
        <v>0</v>
      </c>
      <c r="U155" s="163">
        <v>0</v>
      </c>
      <c r="V155" s="163">
        <v>2450000</v>
      </c>
      <c r="W155" s="163">
        <v>0</v>
      </c>
      <c r="X155" s="156">
        <f>IFERROR(VLOOKUP(A155,Table7[],2,FALSE),0)</f>
        <v>0</v>
      </c>
      <c r="Y155" s="163">
        <v>0</v>
      </c>
      <c r="Z155" s="163">
        <v>0</v>
      </c>
      <c r="AA155" s="163">
        <v>0</v>
      </c>
      <c r="AB155" s="163">
        <v>0</v>
      </c>
      <c r="AC155" s="163">
        <v>390040</v>
      </c>
      <c r="AD155" s="163">
        <v>4840416</v>
      </c>
      <c r="AE155" s="163">
        <v>205800</v>
      </c>
      <c r="AF155" s="163">
        <v>0</v>
      </c>
      <c r="AG155" s="163">
        <v>0</v>
      </c>
      <c r="AH155" s="163">
        <v>35557242</v>
      </c>
      <c r="AI155" s="164">
        <v>2741256</v>
      </c>
      <c r="AJ155" s="141">
        <f t="shared" ref="AJ155" si="146">SUMIF(C156:AI156,"Yes",C155:AI155)</f>
        <v>0</v>
      </c>
      <c r="AK155" s="142">
        <f>AJ155+B155</f>
        <v>128897000</v>
      </c>
    </row>
    <row r="156" spans="1:37" ht="19.5" customHeight="1" x14ac:dyDescent="0.4">
      <c r="A156" s="158"/>
      <c r="B156" s="159"/>
      <c r="C156" s="135"/>
      <c r="D156" s="136"/>
      <c r="E156" s="136"/>
      <c r="F156" s="136"/>
      <c r="G156" s="136"/>
      <c r="H156" s="136"/>
      <c r="I156" s="136"/>
      <c r="J156" s="136"/>
      <c r="K156" s="136"/>
      <c r="L156" s="136"/>
      <c r="M156" s="136"/>
      <c r="N156" s="136"/>
      <c r="O156" s="136"/>
      <c r="P156" s="136"/>
      <c r="Q156" s="136"/>
      <c r="R156" s="136"/>
      <c r="S156" s="136"/>
      <c r="T156" s="136"/>
      <c r="U156" s="136"/>
      <c r="V156" s="136"/>
      <c r="W156" s="136"/>
      <c r="X156" s="136"/>
      <c r="Y156" s="136"/>
      <c r="Z156" s="136"/>
      <c r="AA156" s="136"/>
      <c r="AB156" s="136"/>
      <c r="AC156" s="136"/>
      <c r="AD156" s="136"/>
      <c r="AE156" s="136"/>
      <c r="AF156" s="136"/>
      <c r="AG156" s="136"/>
      <c r="AH156" s="136"/>
      <c r="AI156" s="137"/>
      <c r="AJ156" s="144" t="str">
        <f t="shared" ref="AJ156" si="147">IF(COUNTIF(C156:AI156,"Yes")&lt;1,"",CONCATENATE("Count of 'Yes' : ",COUNTIF(C156:AI156,"Yes")))</f>
        <v/>
      </c>
      <c r="AK156" s="143"/>
    </row>
    <row r="157" spans="1:37" x14ac:dyDescent="0.4">
      <c r="A157" s="160" t="s">
        <v>87</v>
      </c>
      <c r="B157" s="161">
        <f>'Step1 - Def and Mod Analysis'!U85</f>
        <v>4219583.3414715547</v>
      </c>
      <c r="C157" s="162">
        <v>0</v>
      </c>
      <c r="D157" s="163">
        <v>0</v>
      </c>
      <c r="E157" s="163">
        <v>0</v>
      </c>
      <c r="F157" s="163">
        <v>0</v>
      </c>
      <c r="G157" s="163">
        <v>0</v>
      </c>
      <c r="H157" s="163">
        <v>0</v>
      </c>
      <c r="I157" s="163">
        <v>0</v>
      </c>
      <c r="J157" s="163">
        <v>0</v>
      </c>
      <c r="K157" s="163">
        <v>0</v>
      </c>
      <c r="L157" s="163">
        <v>0</v>
      </c>
      <c r="M157" s="163">
        <v>0</v>
      </c>
      <c r="N157" s="163">
        <v>0</v>
      </c>
      <c r="O157" s="163">
        <v>0</v>
      </c>
      <c r="P157" s="163">
        <v>0</v>
      </c>
      <c r="Q157" s="163">
        <v>0</v>
      </c>
      <c r="R157" s="163">
        <v>0</v>
      </c>
      <c r="S157" s="163">
        <v>0</v>
      </c>
      <c r="T157" s="163">
        <v>0</v>
      </c>
      <c r="U157" s="163">
        <v>0</v>
      </c>
      <c r="V157" s="163">
        <v>0</v>
      </c>
      <c r="W157" s="163">
        <v>0</v>
      </c>
      <c r="X157" s="156">
        <f>IFERROR(VLOOKUP(A157,Table7[],2,FALSE),0)</f>
        <v>77934.181199999992</v>
      </c>
      <c r="Y157" s="163">
        <v>0</v>
      </c>
      <c r="Z157" s="163">
        <v>0</v>
      </c>
      <c r="AA157" s="163">
        <v>0</v>
      </c>
      <c r="AB157" s="163">
        <v>0</v>
      </c>
      <c r="AC157" s="163">
        <v>390040</v>
      </c>
      <c r="AD157" s="163">
        <v>3161088</v>
      </c>
      <c r="AE157" s="163">
        <v>0</v>
      </c>
      <c r="AF157" s="163">
        <v>0</v>
      </c>
      <c r="AG157" s="163">
        <v>0</v>
      </c>
      <c r="AH157" s="163">
        <v>0</v>
      </c>
      <c r="AI157" s="164">
        <v>415000</v>
      </c>
      <c r="AJ157" s="141">
        <f t="shared" ref="AJ157" si="148">SUMIF(C158:AI158,"Yes",C157:AI157)</f>
        <v>0</v>
      </c>
      <c r="AK157" s="142">
        <f>AJ157+B157</f>
        <v>4219583.3414715547</v>
      </c>
    </row>
    <row r="158" spans="1:37" ht="19.5" customHeight="1" x14ac:dyDescent="0.4">
      <c r="A158" s="158"/>
      <c r="B158" s="159"/>
      <c r="C158" s="135"/>
      <c r="D158" s="136"/>
      <c r="E158" s="136"/>
      <c r="F158" s="136"/>
      <c r="G158" s="136"/>
      <c r="H158" s="136"/>
      <c r="I158" s="136"/>
      <c r="J158" s="136"/>
      <c r="K158" s="136"/>
      <c r="L158" s="136"/>
      <c r="M158" s="136"/>
      <c r="N158" s="136"/>
      <c r="O158" s="136"/>
      <c r="P158" s="136"/>
      <c r="Q158" s="136"/>
      <c r="R158" s="136"/>
      <c r="S158" s="136"/>
      <c r="T158" s="136"/>
      <c r="U158" s="136"/>
      <c r="V158" s="136"/>
      <c r="W158" s="136"/>
      <c r="X158" s="136"/>
      <c r="Y158" s="136"/>
      <c r="Z158" s="136"/>
      <c r="AA158" s="136"/>
      <c r="AB158" s="136"/>
      <c r="AC158" s="136"/>
      <c r="AD158" s="136"/>
      <c r="AE158" s="136"/>
      <c r="AF158" s="136"/>
      <c r="AG158" s="136"/>
      <c r="AH158" s="136"/>
      <c r="AI158" s="137"/>
      <c r="AJ158" s="144" t="str">
        <f t="shared" ref="AJ158" si="149">IF(COUNTIF(C158:AI158,"Yes")&lt;1,"",CONCATENATE("Count of 'Yes' : ",COUNTIF(C158:AI158,"Yes")))</f>
        <v/>
      </c>
      <c r="AK158" s="143"/>
    </row>
    <row r="159" spans="1:37" x14ac:dyDescent="0.4">
      <c r="A159" s="160" t="s">
        <v>88</v>
      </c>
      <c r="B159" s="161">
        <f>'Step1 - Def and Mod Analysis'!U86</f>
        <v>5383660.5953820106</v>
      </c>
      <c r="C159" s="162">
        <v>0</v>
      </c>
      <c r="D159" s="163">
        <v>0</v>
      </c>
      <c r="E159" s="163">
        <v>0</v>
      </c>
      <c r="F159" s="163">
        <v>0</v>
      </c>
      <c r="G159" s="163">
        <v>0</v>
      </c>
      <c r="H159" s="163">
        <v>0</v>
      </c>
      <c r="I159" s="163">
        <v>0</v>
      </c>
      <c r="J159" s="163">
        <v>0</v>
      </c>
      <c r="K159" s="163">
        <v>0</v>
      </c>
      <c r="L159" s="163">
        <v>0</v>
      </c>
      <c r="M159" s="163">
        <v>0</v>
      </c>
      <c r="N159" s="163">
        <v>0</v>
      </c>
      <c r="O159" s="163">
        <v>0</v>
      </c>
      <c r="P159" s="163">
        <v>0</v>
      </c>
      <c r="Q159" s="163">
        <v>0</v>
      </c>
      <c r="R159" s="163">
        <v>0</v>
      </c>
      <c r="S159" s="163">
        <v>0</v>
      </c>
      <c r="T159" s="163">
        <v>0</v>
      </c>
      <c r="U159" s="163">
        <v>0</v>
      </c>
      <c r="V159" s="163">
        <v>0</v>
      </c>
      <c r="W159" s="163">
        <v>0</v>
      </c>
      <c r="X159" s="156">
        <f>IFERROR(VLOOKUP(A159,Table7[],2,FALSE),0)</f>
        <v>635966.32459999993</v>
      </c>
      <c r="Y159" s="163">
        <v>0</v>
      </c>
      <c r="Z159" s="163">
        <v>0</v>
      </c>
      <c r="AA159" s="163">
        <v>0</v>
      </c>
      <c r="AB159" s="163">
        <v>0</v>
      </c>
      <c r="AC159" s="163">
        <v>0</v>
      </c>
      <c r="AD159" s="163">
        <v>0</v>
      </c>
      <c r="AE159" s="163">
        <v>0</v>
      </c>
      <c r="AF159" s="163">
        <v>0</v>
      </c>
      <c r="AG159" s="163">
        <v>0</v>
      </c>
      <c r="AH159" s="163">
        <v>0</v>
      </c>
      <c r="AI159" s="164">
        <v>0</v>
      </c>
      <c r="AJ159" s="141">
        <f t="shared" ref="AJ159" si="150">SUMIF(C160:AI160,"Yes",C159:AI159)</f>
        <v>0</v>
      </c>
      <c r="AK159" s="142">
        <f>AJ159+B159</f>
        <v>5383660.5953820106</v>
      </c>
    </row>
    <row r="160" spans="1:37" ht="19.5" customHeight="1" x14ac:dyDescent="0.4">
      <c r="A160" s="158"/>
      <c r="B160" s="159"/>
      <c r="C160" s="135"/>
      <c r="D160" s="136"/>
      <c r="E160" s="136"/>
      <c r="F160" s="136"/>
      <c r="G160" s="136"/>
      <c r="H160" s="136"/>
      <c r="I160" s="136"/>
      <c r="J160" s="136"/>
      <c r="K160" s="136"/>
      <c r="L160" s="136"/>
      <c r="M160" s="136"/>
      <c r="N160" s="136"/>
      <c r="O160" s="136"/>
      <c r="P160" s="136"/>
      <c r="Q160" s="136"/>
      <c r="R160" s="136"/>
      <c r="S160" s="136"/>
      <c r="T160" s="136"/>
      <c r="U160" s="136"/>
      <c r="V160" s="136"/>
      <c r="W160" s="136"/>
      <c r="X160" s="136"/>
      <c r="Y160" s="136"/>
      <c r="Z160" s="136"/>
      <c r="AA160" s="136"/>
      <c r="AB160" s="136"/>
      <c r="AC160" s="136"/>
      <c r="AD160" s="136"/>
      <c r="AE160" s="136"/>
      <c r="AF160" s="136"/>
      <c r="AG160" s="136"/>
      <c r="AH160" s="136"/>
      <c r="AI160" s="137"/>
      <c r="AJ160" s="144" t="str">
        <f t="shared" ref="AJ160" si="151">IF(COUNTIF(C160:AI160,"Yes")&lt;1,"",CONCATENATE("Count of 'Yes' : ",COUNTIF(C160:AI160,"Yes")))</f>
        <v/>
      </c>
      <c r="AK160" s="143"/>
    </row>
    <row r="161" spans="1:37" x14ac:dyDescent="0.4">
      <c r="A161" s="160" t="s">
        <v>89</v>
      </c>
      <c r="B161" s="161">
        <f>'Step1 - Def and Mod Analysis'!U87</f>
        <v>46022000</v>
      </c>
      <c r="C161" s="162">
        <v>0</v>
      </c>
      <c r="D161" s="163">
        <v>0</v>
      </c>
      <c r="E161" s="163">
        <v>0</v>
      </c>
      <c r="F161" s="163">
        <v>0</v>
      </c>
      <c r="G161" s="163">
        <v>137200</v>
      </c>
      <c r="H161" s="163">
        <v>0</v>
      </c>
      <c r="I161" s="163">
        <v>0</v>
      </c>
      <c r="J161" s="163">
        <v>0</v>
      </c>
      <c r="K161" s="163">
        <v>0</v>
      </c>
      <c r="L161" s="163">
        <v>0</v>
      </c>
      <c r="M161" s="163">
        <v>0</v>
      </c>
      <c r="N161" s="163">
        <v>0</v>
      </c>
      <c r="O161" s="163">
        <v>0</v>
      </c>
      <c r="P161" s="163">
        <v>0</v>
      </c>
      <c r="Q161" s="163">
        <v>0</v>
      </c>
      <c r="R161" s="163">
        <v>46021767</v>
      </c>
      <c r="S161" s="163">
        <v>0</v>
      </c>
      <c r="T161" s="163">
        <v>0</v>
      </c>
      <c r="U161" s="163">
        <v>0</v>
      </c>
      <c r="V161" s="163">
        <v>0</v>
      </c>
      <c r="W161" s="163">
        <v>0</v>
      </c>
      <c r="X161" s="156">
        <f>IFERROR(VLOOKUP(A161,Table7[],2,FALSE),0)</f>
        <v>826783.08728400012</v>
      </c>
      <c r="Y161" s="163">
        <v>0</v>
      </c>
      <c r="Z161" s="163">
        <v>0</v>
      </c>
      <c r="AA161" s="163">
        <v>0</v>
      </c>
      <c r="AB161" s="163">
        <v>5594182.1376</v>
      </c>
      <c r="AC161" s="163">
        <v>0</v>
      </c>
      <c r="AD161" s="163">
        <v>1841616</v>
      </c>
      <c r="AE161" s="163">
        <v>205800</v>
      </c>
      <c r="AF161" s="163">
        <v>0</v>
      </c>
      <c r="AG161" s="163">
        <v>0</v>
      </c>
      <c r="AH161" s="163">
        <v>1955100</v>
      </c>
      <c r="AI161" s="164">
        <v>250880</v>
      </c>
      <c r="AJ161" s="141">
        <f t="shared" ref="AJ161" si="152">SUMIF(C162:AI162,"Yes",C161:AI161)</f>
        <v>0</v>
      </c>
      <c r="AK161" s="142">
        <f>AJ161+B161</f>
        <v>46022000</v>
      </c>
    </row>
    <row r="162" spans="1:37" ht="19.5" customHeight="1" x14ac:dyDescent="0.4">
      <c r="A162" s="158"/>
      <c r="B162" s="159"/>
      <c r="C162" s="135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  <c r="O162" s="136"/>
      <c r="P162" s="136"/>
      <c r="Q162" s="136"/>
      <c r="R162" s="136"/>
      <c r="S162" s="136"/>
      <c r="T162" s="136"/>
      <c r="U162" s="136"/>
      <c r="V162" s="136"/>
      <c r="W162" s="136"/>
      <c r="X162" s="136"/>
      <c r="Y162" s="136"/>
      <c r="Z162" s="136"/>
      <c r="AA162" s="136"/>
      <c r="AB162" s="136"/>
      <c r="AC162" s="136"/>
      <c r="AD162" s="136"/>
      <c r="AE162" s="136"/>
      <c r="AF162" s="136"/>
      <c r="AG162" s="136"/>
      <c r="AH162" s="136"/>
      <c r="AI162" s="137"/>
      <c r="AJ162" s="144" t="str">
        <f t="shared" ref="AJ162" si="153">IF(COUNTIF(C162:AI162,"Yes")&lt;1,"",CONCATENATE("Count of 'Yes' : ",COUNTIF(C162:AI162,"Yes")))</f>
        <v/>
      </c>
      <c r="AK162" s="143"/>
    </row>
    <row r="163" spans="1:37" x14ac:dyDescent="0.4">
      <c r="A163" s="160" t="s">
        <v>90</v>
      </c>
      <c r="B163" s="161">
        <f>'Step1 - Def and Mod Analysis'!U88</f>
        <v>6998922.8206385635</v>
      </c>
      <c r="C163" s="162">
        <v>0</v>
      </c>
      <c r="D163" s="163">
        <v>0</v>
      </c>
      <c r="E163" s="163">
        <v>0</v>
      </c>
      <c r="F163" s="163">
        <v>0</v>
      </c>
      <c r="G163" s="163">
        <v>137200</v>
      </c>
      <c r="H163" s="163">
        <v>0</v>
      </c>
      <c r="I163" s="163">
        <v>0</v>
      </c>
      <c r="J163" s="163">
        <v>0</v>
      </c>
      <c r="K163" s="163">
        <v>0</v>
      </c>
      <c r="L163" s="163">
        <v>0</v>
      </c>
      <c r="M163" s="163">
        <v>0</v>
      </c>
      <c r="N163" s="163">
        <v>0</v>
      </c>
      <c r="O163" s="163">
        <v>0</v>
      </c>
      <c r="P163" s="163">
        <v>0</v>
      </c>
      <c r="Q163" s="163">
        <v>0</v>
      </c>
      <c r="R163" s="163">
        <v>46021767</v>
      </c>
      <c r="S163" s="163">
        <v>0</v>
      </c>
      <c r="T163" s="163">
        <v>0</v>
      </c>
      <c r="U163" s="163">
        <v>0</v>
      </c>
      <c r="V163" s="163">
        <v>0</v>
      </c>
      <c r="W163" s="163">
        <v>0</v>
      </c>
      <c r="X163" s="156">
        <f>IFERROR(VLOOKUP(A163,Table7[],2,FALSE),0)</f>
        <v>1485866.1982719998</v>
      </c>
      <c r="Y163" s="163">
        <v>0</v>
      </c>
      <c r="Z163" s="163">
        <v>0</v>
      </c>
      <c r="AA163" s="163">
        <v>0</v>
      </c>
      <c r="AB163" s="163">
        <v>0</v>
      </c>
      <c r="AC163" s="163">
        <v>0</v>
      </c>
      <c r="AD163" s="163">
        <v>705600</v>
      </c>
      <c r="AE163" s="163">
        <v>205800</v>
      </c>
      <c r="AF163" s="163">
        <v>31360</v>
      </c>
      <c r="AG163" s="163">
        <v>0</v>
      </c>
      <c r="AH163" s="163">
        <v>196000</v>
      </c>
      <c r="AI163" s="164">
        <v>0</v>
      </c>
      <c r="AJ163" s="141">
        <f t="shared" ref="AJ163" si="154">SUMIF(C164:AI164,"Yes",C163:AI163)</f>
        <v>0</v>
      </c>
      <c r="AK163" s="142">
        <f>AJ163+B163</f>
        <v>6998922.8206385635</v>
      </c>
    </row>
    <row r="164" spans="1:37" ht="19.5" customHeight="1" x14ac:dyDescent="0.4">
      <c r="A164" s="158"/>
      <c r="B164" s="159"/>
      <c r="C164" s="135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36"/>
      <c r="S164" s="136"/>
      <c r="T164" s="136"/>
      <c r="U164" s="136"/>
      <c r="V164" s="136"/>
      <c r="W164" s="136"/>
      <c r="X164" s="136"/>
      <c r="Y164" s="136"/>
      <c r="Z164" s="136"/>
      <c r="AA164" s="136"/>
      <c r="AB164" s="136"/>
      <c r="AC164" s="136"/>
      <c r="AD164" s="136"/>
      <c r="AE164" s="136"/>
      <c r="AF164" s="136"/>
      <c r="AG164" s="136"/>
      <c r="AH164" s="136"/>
      <c r="AI164" s="137"/>
      <c r="AJ164" s="144" t="str">
        <f t="shared" ref="AJ164" si="155">IF(COUNTIF(C164:AI164,"Yes")&lt;1,"",CONCATENATE("Count of 'Yes' : ",COUNTIF(C164:AI164,"Yes")))</f>
        <v/>
      </c>
      <c r="AK164" s="143"/>
    </row>
    <row r="165" spans="1:37" x14ac:dyDescent="0.4">
      <c r="A165" s="160" t="s">
        <v>91</v>
      </c>
      <c r="B165" s="161">
        <f>'Step1 - Def and Mod Analysis'!U89</f>
        <v>5939635.8933775974</v>
      </c>
      <c r="C165" s="162">
        <v>0</v>
      </c>
      <c r="D165" s="163">
        <v>0</v>
      </c>
      <c r="E165" s="163">
        <v>0</v>
      </c>
      <c r="F165" s="163">
        <v>0</v>
      </c>
      <c r="G165" s="163">
        <v>137200</v>
      </c>
      <c r="H165" s="163">
        <v>4795140</v>
      </c>
      <c r="I165" s="163">
        <v>0</v>
      </c>
      <c r="J165" s="163">
        <v>0</v>
      </c>
      <c r="K165" s="163">
        <v>0</v>
      </c>
      <c r="L165" s="163">
        <v>0</v>
      </c>
      <c r="M165" s="163">
        <v>0</v>
      </c>
      <c r="N165" s="163">
        <v>0</v>
      </c>
      <c r="O165" s="163">
        <v>0</v>
      </c>
      <c r="P165" s="163">
        <v>0</v>
      </c>
      <c r="Q165" s="163">
        <v>0</v>
      </c>
      <c r="R165" s="163">
        <v>46021767</v>
      </c>
      <c r="S165" s="163">
        <v>0</v>
      </c>
      <c r="T165" s="163">
        <v>0</v>
      </c>
      <c r="U165" s="163">
        <v>0</v>
      </c>
      <c r="V165" s="163">
        <v>0</v>
      </c>
      <c r="W165" s="163">
        <v>0</v>
      </c>
      <c r="X165" s="156">
        <f>IFERROR(VLOOKUP(A165,Table7[],2,FALSE),0)</f>
        <v>374119.36720000004</v>
      </c>
      <c r="Y165" s="163">
        <v>0</v>
      </c>
      <c r="Z165" s="163">
        <v>0</v>
      </c>
      <c r="AA165" s="163">
        <v>0</v>
      </c>
      <c r="AB165" s="163">
        <v>18502.400000000001</v>
      </c>
      <c r="AC165" s="163">
        <v>0</v>
      </c>
      <c r="AD165" s="163">
        <v>705600</v>
      </c>
      <c r="AE165" s="163">
        <v>0</v>
      </c>
      <c r="AF165" s="163">
        <v>78400</v>
      </c>
      <c r="AG165" s="163">
        <v>4226348</v>
      </c>
      <c r="AH165" s="163">
        <v>8705340</v>
      </c>
      <c r="AI165" s="164">
        <v>0</v>
      </c>
      <c r="AJ165" s="141">
        <f t="shared" ref="AJ165" si="156">SUMIF(C166:AI166,"Yes",C165:AI165)</f>
        <v>0</v>
      </c>
      <c r="AK165" s="142">
        <f>AJ165+B165</f>
        <v>5939635.8933775974</v>
      </c>
    </row>
    <row r="166" spans="1:37" ht="19.5" customHeight="1" x14ac:dyDescent="0.4">
      <c r="A166" s="158"/>
      <c r="B166" s="159"/>
      <c r="C166" s="135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  <c r="O166" s="136"/>
      <c r="P166" s="136"/>
      <c r="Q166" s="136"/>
      <c r="R166" s="136"/>
      <c r="S166" s="136"/>
      <c r="T166" s="136"/>
      <c r="U166" s="136"/>
      <c r="V166" s="136"/>
      <c r="W166" s="136"/>
      <c r="X166" s="136"/>
      <c r="Y166" s="136"/>
      <c r="Z166" s="136"/>
      <c r="AA166" s="136"/>
      <c r="AB166" s="136"/>
      <c r="AC166" s="136"/>
      <c r="AD166" s="136"/>
      <c r="AE166" s="136"/>
      <c r="AF166" s="136"/>
      <c r="AG166" s="136"/>
      <c r="AH166" s="136"/>
      <c r="AI166" s="137"/>
      <c r="AJ166" s="144" t="str">
        <f t="shared" ref="AJ166" si="157">IF(COUNTIF(C166:AI166,"Yes")&lt;1,"",CONCATENATE("Count of 'Yes' : ",COUNTIF(C166:AI166,"Yes")))</f>
        <v/>
      </c>
      <c r="AK166" s="143"/>
    </row>
    <row r="167" spans="1:37" x14ac:dyDescent="0.4">
      <c r="A167" s="160" t="s">
        <v>92</v>
      </c>
      <c r="B167" s="161">
        <f>'Step1 - Def and Mod Analysis'!U90</f>
        <v>3848652.222078912</v>
      </c>
      <c r="C167" s="162">
        <v>0</v>
      </c>
      <c r="D167" s="163">
        <v>0</v>
      </c>
      <c r="E167" s="163">
        <v>0</v>
      </c>
      <c r="F167" s="163">
        <v>0</v>
      </c>
      <c r="G167" s="163">
        <v>137200</v>
      </c>
      <c r="H167" s="163">
        <v>0</v>
      </c>
      <c r="I167" s="163">
        <v>0</v>
      </c>
      <c r="J167" s="163">
        <v>0</v>
      </c>
      <c r="K167" s="163">
        <v>0</v>
      </c>
      <c r="L167" s="163">
        <v>0</v>
      </c>
      <c r="M167" s="163">
        <v>0</v>
      </c>
      <c r="N167" s="163">
        <v>0</v>
      </c>
      <c r="O167" s="163">
        <v>0</v>
      </c>
      <c r="P167" s="163">
        <v>0</v>
      </c>
      <c r="Q167" s="163">
        <v>0</v>
      </c>
      <c r="R167" s="163">
        <v>0</v>
      </c>
      <c r="S167" s="163">
        <v>0</v>
      </c>
      <c r="T167" s="163">
        <v>0</v>
      </c>
      <c r="U167" s="163">
        <v>0</v>
      </c>
      <c r="V167" s="163">
        <v>0</v>
      </c>
      <c r="W167" s="163">
        <v>0</v>
      </c>
      <c r="X167" s="156">
        <f>IFERROR(VLOOKUP(A167,Table7[],2,FALSE),0)</f>
        <v>0</v>
      </c>
      <c r="Y167" s="163">
        <v>0</v>
      </c>
      <c r="Z167" s="163">
        <v>0</v>
      </c>
      <c r="AA167" s="163">
        <v>0</v>
      </c>
      <c r="AB167" s="163">
        <v>0</v>
      </c>
      <c r="AC167" s="163">
        <v>0</v>
      </c>
      <c r="AD167" s="163">
        <v>0</v>
      </c>
      <c r="AE167" s="163">
        <v>0</v>
      </c>
      <c r="AF167" s="163">
        <v>0</v>
      </c>
      <c r="AG167" s="163">
        <v>0</v>
      </c>
      <c r="AH167" s="163">
        <v>0</v>
      </c>
      <c r="AI167" s="164">
        <v>1054480</v>
      </c>
      <c r="AJ167" s="141">
        <f t="shared" ref="AJ167" si="158">SUMIF(C168:AI168,"Yes",C167:AI167)</f>
        <v>0</v>
      </c>
      <c r="AK167" s="142">
        <f>AJ167+B167</f>
        <v>3848652.222078912</v>
      </c>
    </row>
    <row r="168" spans="1:37" ht="19.5" customHeight="1" x14ac:dyDescent="0.4">
      <c r="A168" s="158"/>
      <c r="B168" s="159"/>
      <c r="C168" s="135"/>
      <c r="D168" s="136"/>
      <c r="E168" s="136"/>
      <c r="F168" s="136"/>
      <c r="G168" s="136"/>
      <c r="H168" s="136"/>
      <c r="I168" s="136"/>
      <c r="J168" s="136"/>
      <c r="K168" s="136"/>
      <c r="L168" s="136"/>
      <c r="M168" s="136"/>
      <c r="N168" s="136"/>
      <c r="O168" s="136"/>
      <c r="P168" s="136"/>
      <c r="Q168" s="136"/>
      <c r="R168" s="136"/>
      <c r="S168" s="136"/>
      <c r="T168" s="136"/>
      <c r="U168" s="136"/>
      <c r="V168" s="136"/>
      <c r="W168" s="136"/>
      <c r="X168" s="136"/>
      <c r="Y168" s="136"/>
      <c r="Z168" s="136"/>
      <c r="AA168" s="136"/>
      <c r="AB168" s="136"/>
      <c r="AC168" s="136"/>
      <c r="AD168" s="136"/>
      <c r="AE168" s="136"/>
      <c r="AF168" s="136"/>
      <c r="AG168" s="136"/>
      <c r="AH168" s="136"/>
      <c r="AI168" s="137"/>
      <c r="AJ168" s="144" t="str">
        <f t="shared" ref="AJ168" si="159">IF(COUNTIF(C168:AI168,"Yes")&lt;1,"",CONCATENATE("Count of 'Yes' : ",COUNTIF(C168:AI168,"Yes")))</f>
        <v/>
      </c>
      <c r="AK168" s="143"/>
    </row>
    <row r="169" spans="1:37" x14ac:dyDescent="0.4">
      <c r="A169" s="160" t="s">
        <v>93</v>
      </c>
      <c r="B169" s="161">
        <f>'Step1 - Def and Mod Analysis'!U91</f>
        <v>0</v>
      </c>
      <c r="C169" s="162">
        <v>0</v>
      </c>
      <c r="D169" s="163">
        <v>0</v>
      </c>
      <c r="E169" s="163">
        <v>0</v>
      </c>
      <c r="F169" s="163">
        <v>0</v>
      </c>
      <c r="G169" s="163">
        <v>137200</v>
      </c>
      <c r="H169" s="163">
        <v>0</v>
      </c>
      <c r="I169" s="163">
        <v>0</v>
      </c>
      <c r="J169" s="163">
        <v>0</v>
      </c>
      <c r="K169" s="163">
        <v>0</v>
      </c>
      <c r="L169" s="163">
        <v>0</v>
      </c>
      <c r="M169" s="163">
        <v>0</v>
      </c>
      <c r="N169" s="163">
        <v>0</v>
      </c>
      <c r="O169" s="163">
        <v>0</v>
      </c>
      <c r="P169" s="163">
        <v>0</v>
      </c>
      <c r="Q169" s="163">
        <v>0</v>
      </c>
      <c r="R169" s="163">
        <v>0</v>
      </c>
      <c r="S169" s="163">
        <v>0</v>
      </c>
      <c r="T169" s="163">
        <v>0</v>
      </c>
      <c r="U169" s="163">
        <v>0</v>
      </c>
      <c r="V169" s="163">
        <v>0</v>
      </c>
      <c r="W169" s="163">
        <v>0</v>
      </c>
      <c r="X169" s="156">
        <f>IFERROR(VLOOKUP(A169,Table7[],2,FALSE),0)</f>
        <v>0</v>
      </c>
      <c r="Y169" s="163">
        <v>0</v>
      </c>
      <c r="Z169" s="163">
        <v>0</v>
      </c>
      <c r="AA169" s="163">
        <v>0</v>
      </c>
      <c r="AB169" s="163">
        <v>0</v>
      </c>
      <c r="AC169" s="163">
        <v>0</v>
      </c>
      <c r="AD169" s="163">
        <v>811440</v>
      </c>
      <c r="AE169" s="163">
        <v>205800</v>
      </c>
      <c r="AF169" s="163">
        <v>0</v>
      </c>
      <c r="AG169" s="163">
        <v>0</v>
      </c>
      <c r="AH169" s="163">
        <v>0</v>
      </c>
      <c r="AI169" s="164">
        <v>0</v>
      </c>
      <c r="AJ169" s="141">
        <f t="shared" ref="AJ169" si="160">SUMIF(C170:AI170,"Yes",C169:AI169)</f>
        <v>0</v>
      </c>
      <c r="AK169" s="142">
        <f>AJ169+B169</f>
        <v>0</v>
      </c>
    </row>
    <row r="170" spans="1:37" ht="19.5" customHeight="1" x14ac:dyDescent="0.4">
      <c r="A170" s="158"/>
      <c r="B170" s="159"/>
      <c r="C170" s="135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  <c r="O170" s="136"/>
      <c r="P170" s="136"/>
      <c r="Q170" s="136"/>
      <c r="R170" s="136"/>
      <c r="S170" s="136"/>
      <c r="T170" s="136"/>
      <c r="U170" s="136"/>
      <c r="V170" s="136"/>
      <c r="W170" s="136"/>
      <c r="X170" s="136"/>
      <c r="Y170" s="136"/>
      <c r="Z170" s="136"/>
      <c r="AA170" s="136"/>
      <c r="AB170" s="136"/>
      <c r="AC170" s="136"/>
      <c r="AD170" s="136"/>
      <c r="AE170" s="136"/>
      <c r="AF170" s="136"/>
      <c r="AG170" s="136"/>
      <c r="AH170" s="136"/>
      <c r="AI170" s="137"/>
      <c r="AJ170" s="144" t="str">
        <f t="shared" ref="AJ170" si="161">IF(COUNTIF(C170:AI170,"Yes")&lt;1,"",CONCATENATE("Count of 'Yes' : ",COUNTIF(C170:AI170,"Yes")))</f>
        <v/>
      </c>
      <c r="AK170" s="143"/>
    </row>
    <row r="171" spans="1:37" x14ac:dyDescent="0.4">
      <c r="A171" s="160" t="s">
        <v>94</v>
      </c>
      <c r="B171" s="161">
        <f>'Step1 - Def and Mod Analysis'!U92</f>
        <v>7453698.8641537186</v>
      </c>
      <c r="C171" s="162">
        <v>0</v>
      </c>
      <c r="D171" s="163">
        <v>0</v>
      </c>
      <c r="E171" s="163">
        <v>0</v>
      </c>
      <c r="F171" s="163">
        <v>0</v>
      </c>
      <c r="G171" s="163">
        <v>137200</v>
      </c>
      <c r="H171" s="163">
        <v>4795140</v>
      </c>
      <c r="I171" s="163">
        <v>0</v>
      </c>
      <c r="J171" s="163">
        <v>0</v>
      </c>
      <c r="K171" s="163">
        <v>0</v>
      </c>
      <c r="L171" s="163">
        <v>0</v>
      </c>
      <c r="M171" s="163">
        <v>0</v>
      </c>
      <c r="N171" s="163">
        <v>0</v>
      </c>
      <c r="O171" s="163">
        <v>0</v>
      </c>
      <c r="P171" s="163">
        <v>0</v>
      </c>
      <c r="Q171" s="163">
        <v>0</v>
      </c>
      <c r="R171" s="163">
        <v>38788288</v>
      </c>
      <c r="S171" s="163">
        <v>0</v>
      </c>
      <c r="T171" s="163">
        <v>0</v>
      </c>
      <c r="U171" s="163">
        <v>0</v>
      </c>
      <c r="V171" s="163">
        <v>0</v>
      </c>
      <c r="W171" s="163">
        <v>0</v>
      </c>
      <c r="X171" s="156">
        <f>IFERROR(VLOOKUP(A171,Table7[],2,FALSE),0)</f>
        <v>472707.10204000003</v>
      </c>
      <c r="Y171" s="163">
        <v>0</v>
      </c>
      <c r="Z171" s="163">
        <v>0</v>
      </c>
      <c r="AA171" s="163">
        <v>0</v>
      </c>
      <c r="AB171" s="163">
        <v>0</v>
      </c>
      <c r="AC171" s="163">
        <v>0</v>
      </c>
      <c r="AD171" s="163">
        <v>0</v>
      </c>
      <c r="AE171" s="163">
        <v>205800</v>
      </c>
      <c r="AF171" s="163">
        <v>0</v>
      </c>
      <c r="AG171" s="163">
        <v>0</v>
      </c>
      <c r="AH171" s="163">
        <v>0</v>
      </c>
      <c r="AI171" s="164">
        <v>0</v>
      </c>
      <c r="AJ171" s="141">
        <f t="shared" ref="AJ171" si="162">SUMIF(C172:AI172,"Yes",C171:AI171)</f>
        <v>0</v>
      </c>
      <c r="AK171" s="142">
        <f>AJ171+B171</f>
        <v>7453698.8641537186</v>
      </c>
    </row>
    <row r="172" spans="1:37" ht="19.5" customHeight="1" x14ac:dyDescent="0.4">
      <c r="A172" s="158"/>
      <c r="B172" s="159"/>
      <c r="C172" s="135"/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  <c r="N172" s="136"/>
      <c r="O172" s="136"/>
      <c r="P172" s="136"/>
      <c r="Q172" s="136"/>
      <c r="R172" s="136"/>
      <c r="S172" s="136"/>
      <c r="T172" s="136"/>
      <c r="U172" s="136"/>
      <c r="V172" s="136"/>
      <c r="W172" s="136"/>
      <c r="X172" s="136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7"/>
      <c r="AJ172" s="144" t="str">
        <f t="shared" ref="AJ172" si="163">IF(COUNTIF(C172:AI172,"Yes")&lt;1,"",CONCATENATE("Count of 'Yes' : ",COUNTIF(C172:AI172,"Yes")))</f>
        <v/>
      </c>
      <c r="AK172" s="143"/>
    </row>
    <row r="173" spans="1:37" x14ac:dyDescent="0.4">
      <c r="A173" s="160" t="s">
        <v>95</v>
      </c>
      <c r="B173" s="161">
        <f>'Step1 - Def and Mod Analysis'!U93</f>
        <v>5591010.9650348676</v>
      </c>
      <c r="C173" s="162">
        <v>0</v>
      </c>
      <c r="D173" s="163">
        <v>0</v>
      </c>
      <c r="E173" s="163">
        <v>0</v>
      </c>
      <c r="F173" s="163">
        <v>0</v>
      </c>
      <c r="G173" s="163">
        <v>0</v>
      </c>
      <c r="H173" s="163">
        <v>0</v>
      </c>
      <c r="I173" s="163">
        <v>0</v>
      </c>
      <c r="J173" s="163">
        <v>0</v>
      </c>
      <c r="K173" s="163">
        <v>0</v>
      </c>
      <c r="L173" s="163">
        <v>0</v>
      </c>
      <c r="M173" s="163">
        <v>0</v>
      </c>
      <c r="N173" s="163">
        <v>0</v>
      </c>
      <c r="O173" s="163">
        <v>0</v>
      </c>
      <c r="P173" s="163">
        <v>0</v>
      </c>
      <c r="Q173" s="163">
        <v>0</v>
      </c>
      <c r="R173" s="163">
        <v>0</v>
      </c>
      <c r="S173" s="163">
        <v>0</v>
      </c>
      <c r="T173" s="163">
        <v>0</v>
      </c>
      <c r="U173" s="163">
        <v>0</v>
      </c>
      <c r="V173" s="163">
        <v>0</v>
      </c>
      <c r="W173" s="163">
        <v>0</v>
      </c>
      <c r="X173" s="156">
        <f>IFERROR(VLOOKUP(A173,Table7[],2,FALSE),0)</f>
        <v>0</v>
      </c>
      <c r="Y173" s="163">
        <v>0</v>
      </c>
      <c r="Z173" s="163">
        <v>0</v>
      </c>
      <c r="AA173" s="163">
        <v>0</v>
      </c>
      <c r="AB173" s="163">
        <v>0</v>
      </c>
      <c r="AC173" s="163">
        <v>0</v>
      </c>
      <c r="AD173" s="163">
        <v>0</v>
      </c>
      <c r="AE173" s="163">
        <v>0</v>
      </c>
      <c r="AF173" s="163">
        <v>0</v>
      </c>
      <c r="AG173" s="163">
        <v>0</v>
      </c>
      <c r="AH173" s="163">
        <v>0</v>
      </c>
      <c r="AI173" s="164">
        <v>0</v>
      </c>
      <c r="AJ173" s="141">
        <f t="shared" ref="AJ173" si="164">SUMIF(C174:AI174,"Yes",C173:AI173)</f>
        <v>0</v>
      </c>
      <c r="AK173" s="142">
        <f>AJ173+B173</f>
        <v>5591010.9650348676</v>
      </c>
    </row>
    <row r="174" spans="1:37" ht="19.5" customHeight="1" x14ac:dyDescent="0.4">
      <c r="A174" s="158"/>
      <c r="B174" s="159"/>
      <c r="C174" s="135"/>
      <c r="D174" s="136"/>
      <c r="E174" s="136"/>
      <c r="F174" s="136"/>
      <c r="G174" s="136"/>
      <c r="H174" s="136"/>
      <c r="I174" s="136"/>
      <c r="J174" s="136"/>
      <c r="K174" s="136"/>
      <c r="L174" s="136"/>
      <c r="M174" s="136"/>
      <c r="N174" s="136"/>
      <c r="O174" s="136"/>
      <c r="P174" s="136"/>
      <c r="Q174" s="136"/>
      <c r="R174" s="136"/>
      <c r="S174" s="136"/>
      <c r="T174" s="136"/>
      <c r="U174" s="136"/>
      <c r="V174" s="136"/>
      <c r="W174" s="136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/>
      <c r="AH174" s="136"/>
      <c r="AI174" s="137"/>
      <c r="AJ174" s="144" t="str">
        <f t="shared" ref="AJ174" si="165">IF(COUNTIF(C174:AI174,"Yes")&lt;1,"",CONCATENATE("Count of 'Yes' : ",COUNTIF(C174:AI174,"Yes")))</f>
        <v/>
      </c>
      <c r="AK174" s="143"/>
    </row>
    <row r="175" spans="1:37" x14ac:dyDescent="0.4">
      <c r="A175" s="160" t="s">
        <v>96</v>
      </c>
      <c r="B175" s="161">
        <f>'Step1 - Def and Mod Analysis'!U94</f>
        <v>4099500.3505756008</v>
      </c>
      <c r="C175" s="162">
        <v>0</v>
      </c>
      <c r="D175" s="163">
        <v>0</v>
      </c>
      <c r="E175" s="163">
        <v>0</v>
      </c>
      <c r="F175" s="163">
        <v>0</v>
      </c>
      <c r="G175" s="163">
        <v>0</v>
      </c>
      <c r="H175" s="163">
        <v>0</v>
      </c>
      <c r="I175" s="163">
        <v>0</v>
      </c>
      <c r="J175" s="163">
        <v>0</v>
      </c>
      <c r="K175" s="163">
        <v>0</v>
      </c>
      <c r="L175" s="163">
        <v>0</v>
      </c>
      <c r="M175" s="163">
        <v>0</v>
      </c>
      <c r="N175" s="163">
        <v>0</v>
      </c>
      <c r="O175" s="163">
        <v>0</v>
      </c>
      <c r="P175" s="163">
        <v>0</v>
      </c>
      <c r="Q175" s="163">
        <v>0</v>
      </c>
      <c r="R175" s="163">
        <v>0</v>
      </c>
      <c r="S175" s="163">
        <v>0</v>
      </c>
      <c r="T175" s="163">
        <v>0</v>
      </c>
      <c r="U175" s="163">
        <v>0</v>
      </c>
      <c r="V175" s="163">
        <v>0</v>
      </c>
      <c r="W175" s="163">
        <v>0</v>
      </c>
      <c r="X175" s="156">
        <f>IFERROR(VLOOKUP(A175,Table7[],2,FALSE),0)</f>
        <v>431892.29639999999</v>
      </c>
      <c r="Y175" s="163">
        <v>0</v>
      </c>
      <c r="Z175" s="163">
        <v>0</v>
      </c>
      <c r="AA175" s="163">
        <v>0</v>
      </c>
      <c r="AB175" s="163">
        <v>0</v>
      </c>
      <c r="AC175" s="163">
        <v>0</v>
      </c>
      <c r="AD175" s="163">
        <v>0</v>
      </c>
      <c r="AE175" s="163">
        <v>0</v>
      </c>
      <c r="AF175" s="163">
        <v>0</v>
      </c>
      <c r="AG175" s="163">
        <v>0</v>
      </c>
      <c r="AH175" s="163">
        <v>0</v>
      </c>
      <c r="AI175" s="164">
        <v>0</v>
      </c>
      <c r="AJ175" s="141">
        <f t="shared" ref="AJ175" si="166">SUMIF(C176:AI176,"Yes",C175:AI175)</f>
        <v>0</v>
      </c>
      <c r="AK175" s="142">
        <f>AJ175+B175</f>
        <v>4099500.3505756008</v>
      </c>
    </row>
    <row r="176" spans="1:37" ht="19.5" customHeight="1" x14ac:dyDescent="0.4">
      <c r="A176" s="158"/>
      <c r="B176" s="159"/>
      <c r="C176" s="135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  <c r="O176" s="136"/>
      <c r="P176" s="136"/>
      <c r="Q176" s="136"/>
      <c r="R176" s="136"/>
      <c r="S176" s="136"/>
      <c r="T176" s="136"/>
      <c r="U176" s="136"/>
      <c r="V176" s="136"/>
      <c r="W176" s="136"/>
      <c r="X176" s="136"/>
      <c r="Y176" s="136"/>
      <c r="Z176" s="136"/>
      <c r="AA176" s="136"/>
      <c r="AB176" s="136"/>
      <c r="AC176" s="136"/>
      <c r="AD176" s="136"/>
      <c r="AE176" s="136"/>
      <c r="AF176" s="136"/>
      <c r="AG176" s="136"/>
      <c r="AH176" s="136"/>
      <c r="AI176" s="137"/>
      <c r="AJ176" s="144" t="str">
        <f t="shared" ref="AJ176" si="167">IF(COUNTIF(C176:AI176,"Yes")&lt;1,"",CONCATENATE("Count of 'Yes' : ",COUNTIF(C176:AI176,"Yes")))</f>
        <v/>
      </c>
      <c r="AK176" s="143"/>
    </row>
    <row r="177" spans="1:37" x14ac:dyDescent="0.4">
      <c r="A177" s="160" t="s">
        <v>97</v>
      </c>
      <c r="B177" s="161">
        <f>'Step1 - Def and Mod Analysis'!U95</f>
        <v>46022000</v>
      </c>
      <c r="C177" s="162">
        <v>0</v>
      </c>
      <c r="D177" s="163">
        <v>0</v>
      </c>
      <c r="E177" s="163">
        <v>0</v>
      </c>
      <c r="F177" s="163">
        <v>0</v>
      </c>
      <c r="G177" s="163">
        <v>137200</v>
      </c>
      <c r="H177" s="163">
        <v>0</v>
      </c>
      <c r="I177" s="163">
        <v>0</v>
      </c>
      <c r="J177" s="163">
        <v>0</v>
      </c>
      <c r="K177" s="163">
        <v>0</v>
      </c>
      <c r="L177" s="163">
        <v>0</v>
      </c>
      <c r="M177" s="163">
        <v>0</v>
      </c>
      <c r="N177" s="163">
        <v>0</v>
      </c>
      <c r="O177" s="163">
        <v>0</v>
      </c>
      <c r="P177" s="163">
        <v>0</v>
      </c>
      <c r="Q177" s="163">
        <v>0</v>
      </c>
      <c r="R177" s="163">
        <v>46021767</v>
      </c>
      <c r="S177" s="163">
        <v>0</v>
      </c>
      <c r="T177" s="163">
        <v>0</v>
      </c>
      <c r="U177" s="163">
        <v>0</v>
      </c>
      <c r="V177" s="163">
        <v>0</v>
      </c>
      <c r="W177" s="163">
        <v>0</v>
      </c>
      <c r="X177" s="156">
        <f>IFERROR(VLOOKUP(A177,Table7[],2,FALSE),0)</f>
        <v>125593.52615999999</v>
      </c>
      <c r="Y177" s="163">
        <v>0</v>
      </c>
      <c r="Z177" s="163">
        <v>0</v>
      </c>
      <c r="AA177" s="163">
        <v>0</v>
      </c>
      <c r="AB177" s="163">
        <v>0</v>
      </c>
      <c r="AC177" s="163">
        <v>0</v>
      </c>
      <c r="AD177" s="163">
        <v>0</v>
      </c>
      <c r="AE177" s="163">
        <v>205800</v>
      </c>
      <c r="AF177" s="163">
        <v>31360</v>
      </c>
      <c r="AG177" s="163">
        <v>4226348</v>
      </c>
      <c r="AH177" s="163">
        <v>1955100</v>
      </c>
      <c r="AI177" s="164">
        <v>519400</v>
      </c>
      <c r="AJ177" s="141">
        <f t="shared" ref="AJ177" si="168">SUMIF(C178:AI178,"Yes",C177:AI177)</f>
        <v>0</v>
      </c>
      <c r="AK177" s="142">
        <f>AJ177+B177</f>
        <v>46022000</v>
      </c>
    </row>
    <row r="178" spans="1:37" ht="19.5" customHeight="1" x14ac:dyDescent="0.4">
      <c r="A178" s="158"/>
      <c r="B178" s="159"/>
      <c r="C178" s="135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  <c r="O178" s="136"/>
      <c r="P178" s="136"/>
      <c r="Q178" s="136"/>
      <c r="R178" s="136"/>
      <c r="S178" s="136"/>
      <c r="T178" s="136"/>
      <c r="U178" s="136"/>
      <c r="V178" s="136"/>
      <c r="W178" s="136"/>
      <c r="X178" s="136"/>
      <c r="Y178" s="136"/>
      <c r="Z178" s="136"/>
      <c r="AA178" s="136"/>
      <c r="AB178" s="136"/>
      <c r="AC178" s="136"/>
      <c r="AD178" s="136"/>
      <c r="AE178" s="136"/>
      <c r="AF178" s="136"/>
      <c r="AG178" s="136"/>
      <c r="AH178" s="136"/>
      <c r="AI178" s="137"/>
      <c r="AJ178" s="144" t="str">
        <f t="shared" ref="AJ178" si="169">IF(COUNTIF(C178:AI178,"Yes")&lt;1,"",CONCATENATE("Count of 'Yes' : ",COUNTIF(C178:AI178,"Yes")))</f>
        <v/>
      </c>
      <c r="AK178" s="143"/>
    </row>
    <row r="179" spans="1:37" x14ac:dyDescent="0.4">
      <c r="A179" s="160" t="s">
        <v>98</v>
      </c>
      <c r="B179" s="161">
        <f>'Step1 - Def and Mod Analysis'!U96</f>
        <v>2480543.1689821477</v>
      </c>
      <c r="C179" s="162">
        <v>0</v>
      </c>
      <c r="D179" s="163">
        <v>0</v>
      </c>
      <c r="E179" s="163">
        <v>0</v>
      </c>
      <c r="F179" s="163">
        <v>0</v>
      </c>
      <c r="G179" s="163">
        <v>137200</v>
      </c>
      <c r="H179" s="163">
        <v>0</v>
      </c>
      <c r="I179" s="163">
        <v>0</v>
      </c>
      <c r="J179" s="163">
        <v>0</v>
      </c>
      <c r="K179" s="163">
        <v>0</v>
      </c>
      <c r="L179" s="163">
        <v>0</v>
      </c>
      <c r="M179" s="163">
        <v>0</v>
      </c>
      <c r="N179" s="163">
        <v>0</v>
      </c>
      <c r="O179" s="163">
        <v>0</v>
      </c>
      <c r="P179" s="163">
        <v>0</v>
      </c>
      <c r="Q179" s="163">
        <v>0</v>
      </c>
      <c r="R179" s="163">
        <v>0</v>
      </c>
      <c r="S179" s="163">
        <v>0</v>
      </c>
      <c r="T179" s="163">
        <v>0</v>
      </c>
      <c r="U179" s="163">
        <v>0</v>
      </c>
      <c r="V179" s="163">
        <v>0</v>
      </c>
      <c r="W179" s="163">
        <v>0</v>
      </c>
      <c r="X179" s="156">
        <f>IFERROR(VLOOKUP(A179,Table7[],2,FALSE),0)</f>
        <v>167295.45300000001</v>
      </c>
      <c r="Y179" s="163">
        <v>0</v>
      </c>
      <c r="Z179" s="163">
        <v>0</v>
      </c>
      <c r="AA179" s="163">
        <v>0</v>
      </c>
      <c r="AB179" s="163">
        <v>0</v>
      </c>
      <c r="AC179" s="163">
        <v>0</v>
      </c>
      <c r="AD179" s="163">
        <v>0</v>
      </c>
      <c r="AE179" s="163">
        <v>0</v>
      </c>
      <c r="AF179" s="163">
        <v>156800</v>
      </c>
      <c r="AG179" s="163">
        <v>4226348</v>
      </c>
      <c r="AH179" s="163">
        <v>0</v>
      </c>
      <c r="AI179" s="164">
        <v>0</v>
      </c>
      <c r="AJ179" s="141">
        <f t="shared" ref="AJ179" si="170">SUMIF(C180:AI180,"Yes",C179:AI179)</f>
        <v>0</v>
      </c>
      <c r="AK179" s="142">
        <f>AJ179+B179</f>
        <v>2480543.1689821477</v>
      </c>
    </row>
    <row r="180" spans="1:37" ht="19.5" customHeight="1" x14ac:dyDescent="0.4">
      <c r="A180" s="158"/>
      <c r="B180" s="159"/>
      <c r="C180" s="135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  <c r="O180" s="136"/>
      <c r="P180" s="136"/>
      <c r="Q180" s="136"/>
      <c r="R180" s="136"/>
      <c r="S180" s="136"/>
      <c r="T180" s="136"/>
      <c r="U180" s="136"/>
      <c r="V180" s="136"/>
      <c r="W180" s="136"/>
      <c r="X180" s="136"/>
      <c r="Y180" s="136"/>
      <c r="Z180" s="136"/>
      <c r="AA180" s="136"/>
      <c r="AB180" s="136"/>
      <c r="AC180" s="136"/>
      <c r="AD180" s="136"/>
      <c r="AE180" s="136"/>
      <c r="AF180" s="136"/>
      <c r="AG180" s="136"/>
      <c r="AH180" s="136"/>
      <c r="AI180" s="137"/>
      <c r="AJ180" s="144" t="str">
        <f t="shared" ref="AJ180" si="171">IF(COUNTIF(C180:AI180,"Yes")&lt;1,"",CONCATENATE("Count of 'Yes' : ",COUNTIF(C180:AI180,"Yes")))</f>
        <v/>
      </c>
      <c r="AK180" s="143"/>
    </row>
    <row r="181" spans="1:37" x14ac:dyDescent="0.4">
      <c r="A181" s="160" t="s">
        <v>99</v>
      </c>
      <c r="B181" s="161">
        <f>'Step1 - Def and Mod Analysis'!U97</f>
        <v>3529956.3367395839</v>
      </c>
      <c r="C181" s="162">
        <v>0</v>
      </c>
      <c r="D181" s="163">
        <v>0</v>
      </c>
      <c r="E181" s="163">
        <v>0</v>
      </c>
      <c r="F181" s="163">
        <v>0</v>
      </c>
      <c r="G181" s="163">
        <v>137200</v>
      </c>
      <c r="H181" s="163">
        <v>0</v>
      </c>
      <c r="I181" s="163">
        <v>0</v>
      </c>
      <c r="J181" s="163">
        <v>0</v>
      </c>
      <c r="K181" s="163">
        <v>0</v>
      </c>
      <c r="L181" s="163">
        <v>0</v>
      </c>
      <c r="M181" s="163">
        <v>0</v>
      </c>
      <c r="N181" s="163">
        <v>0</v>
      </c>
      <c r="O181" s="163">
        <v>0</v>
      </c>
      <c r="P181" s="163">
        <v>0</v>
      </c>
      <c r="Q181" s="163">
        <v>0</v>
      </c>
      <c r="R181" s="163">
        <v>0</v>
      </c>
      <c r="S181" s="163">
        <v>0</v>
      </c>
      <c r="T181" s="163">
        <v>0</v>
      </c>
      <c r="U181" s="163">
        <v>0</v>
      </c>
      <c r="V181" s="163">
        <v>0</v>
      </c>
      <c r="W181" s="163">
        <v>0</v>
      </c>
      <c r="X181" s="156">
        <f>IFERROR(VLOOKUP(A181,Table7[],2,FALSE),0)</f>
        <v>402738.86379999999</v>
      </c>
      <c r="Y181" s="163">
        <v>0</v>
      </c>
      <c r="Z181" s="163">
        <v>0</v>
      </c>
      <c r="AA181" s="163">
        <v>0</v>
      </c>
      <c r="AB181" s="163">
        <v>0</v>
      </c>
      <c r="AC181" s="163">
        <v>0</v>
      </c>
      <c r="AD181" s="163">
        <v>1418256</v>
      </c>
      <c r="AE181" s="163">
        <v>205800</v>
      </c>
      <c r="AF181" s="163">
        <v>31360</v>
      </c>
      <c r="AG181" s="163">
        <v>0</v>
      </c>
      <c r="AH181" s="163">
        <v>0</v>
      </c>
      <c r="AI181" s="164">
        <v>0</v>
      </c>
      <c r="AJ181" s="141">
        <f t="shared" ref="AJ181" si="172">SUMIF(C182:AI182,"Yes",C181:AI181)</f>
        <v>0</v>
      </c>
      <c r="AK181" s="142">
        <f>AJ181+B181</f>
        <v>3529956.3367395839</v>
      </c>
    </row>
    <row r="182" spans="1:37" ht="19.5" customHeight="1" x14ac:dyDescent="0.4">
      <c r="A182" s="158"/>
      <c r="B182" s="159"/>
      <c r="C182" s="135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  <c r="O182" s="136"/>
      <c r="P182" s="136"/>
      <c r="Q182" s="136"/>
      <c r="R182" s="136"/>
      <c r="S182" s="136"/>
      <c r="T182" s="136"/>
      <c r="U182" s="136"/>
      <c r="V182" s="136"/>
      <c r="W182" s="136"/>
      <c r="X182" s="136"/>
      <c r="Y182" s="136"/>
      <c r="Z182" s="136"/>
      <c r="AA182" s="136"/>
      <c r="AB182" s="136"/>
      <c r="AC182" s="136"/>
      <c r="AD182" s="136"/>
      <c r="AE182" s="136"/>
      <c r="AF182" s="136"/>
      <c r="AG182" s="136"/>
      <c r="AH182" s="136"/>
      <c r="AI182" s="137"/>
      <c r="AJ182" s="144" t="str">
        <f t="shared" ref="AJ182" si="173">IF(COUNTIF(C182:AI182,"Yes")&lt;1,"",CONCATENATE("Count of 'Yes' : ",COUNTIF(C182:AI182,"Yes")))</f>
        <v/>
      </c>
      <c r="AK182" s="143"/>
    </row>
    <row r="183" spans="1:37" x14ac:dyDescent="0.4">
      <c r="A183" s="160" t="s">
        <v>100</v>
      </c>
      <c r="B183" s="161">
        <f>'Step1 - Def and Mod Analysis'!U98</f>
        <v>2193153.9674219792</v>
      </c>
      <c r="C183" s="162">
        <v>0</v>
      </c>
      <c r="D183" s="163">
        <v>0</v>
      </c>
      <c r="E183" s="163">
        <v>0</v>
      </c>
      <c r="F183" s="163">
        <v>0</v>
      </c>
      <c r="G183" s="163">
        <v>137200</v>
      </c>
      <c r="H183" s="163">
        <v>0</v>
      </c>
      <c r="I183" s="163">
        <v>0</v>
      </c>
      <c r="J183" s="163">
        <v>0</v>
      </c>
      <c r="K183" s="163">
        <v>0</v>
      </c>
      <c r="L183" s="163">
        <v>0</v>
      </c>
      <c r="M183" s="163">
        <v>0</v>
      </c>
      <c r="N183" s="163">
        <v>0</v>
      </c>
      <c r="O183" s="163">
        <v>0</v>
      </c>
      <c r="P183" s="163">
        <v>0</v>
      </c>
      <c r="Q183" s="163">
        <v>0</v>
      </c>
      <c r="R183" s="163">
        <v>0</v>
      </c>
      <c r="S183" s="163">
        <v>0</v>
      </c>
      <c r="T183" s="163">
        <v>0</v>
      </c>
      <c r="U183" s="163">
        <v>0</v>
      </c>
      <c r="V183" s="163">
        <v>0</v>
      </c>
      <c r="W183" s="163">
        <v>0</v>
      </c>
      <c r="X183" s="156">
        <f>IFERROR(VLOOKUP(A183,Table7[],2,FALSE),0)</f>
        <v>360023.85011200001</v>
      </c>
      <c r="Y183" s="163">
        <v>0</v>
      </c>
      <c r="Z183" s="163">
        <v>0</v>
      </c>
      <c r="AA183" s="163">
        <v>0</v>
      </c>
      <c r="AB183" s="163">
        <v>0</v>
      </c>
      <c r="AC183" s="163">
        <v>0</v>
      </c>
      <c r="AD183" s="163">
        <v>0</v>
      </c>
      <c r="AE183" s="163">
        <v>0</v>
      </c>
      <c r="AF183" s="163">
        <v>0</v>
      </c>
      <c r="AG183" s="163">
        <v>0</v>
      </c>
      <c r="AH183" s="163">
        <v>0</v>
      </c>
      <c r="AI183" s="164">
        <v>0</v>
      </c>
      <c r="AJ183" s="141">
        <f t="shared" ref="AJ183" si="174">SUMIF(C184:AI184,"Yes",C183:AI183)</f>
        <v>0</v>
      </c>
      <c r="AK183" s="142">
        <f>AJ183+B183</f>
        <v>2193153.9674219792</v>
      </c>
    </row>
    <row r="184" spans="1:37" ht="19.5" customHeight="1" x14ac:dyDescent="0.4">
      <c r="A184" s="158"/>
      <c r="B184" s="159"/>
      <c r="C184" s="135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  <c r="O184" s="136"/>
      <c r="P184" s="136"/>
      <c r="Q184" s="136"/>
      <c r="R184" s="136"/>
      <c r="S184" s="136"/>
      <c r="T184" s="136"/>
      <c r="U184" s="136"/>
      <c r="V184" s="136"/>
      <c r="W184" s="136"/>
      <c r="X184" s="136"/>
      <c r="Y184" s="136"/>
      <c r="Z184" s="136"/>
      <c r="AA184" s="136"/>
      <c r="AB184" s="136"/>
      <c r="AC184" s="136"/>
      <c r="AD184" s="136"/>
      <c r="AE184" s="136"/>
      <c r="AF184" s="136"/>
      <c r="AG184" s="136"/>
      <c r="AH184" s="136"/>
      <c r="AI184" s="137"/>
      <c r="AJ184" s="144" t="str">
        <f t="shared" ref="AJ184" si="175">IF(COUNTIF(C184:AI184,"Yes")&lt;1,"",CONCATENATE("Count of 'Yes' : ",COUNTIF(C184:AI184,"Yes")))</f>
        <v/>
      </c>
      <c r="AK184" s="143"/>
    </row>
    <row r="185" spans="1:37" x14ac:dyDescent="0.4">
      <c r="A185" s="160" t="s">
        <v>102</v>
      </c>
      <c r="B185" s="161">
        <f>'Step1 - Def and Mod Analysis'!U99</f>
        <v>2560442.4500118033</v>
      </c>
      <c r="C185" s="162">
        <v>0</v>
      </c>
      <c r="D185" s="163">
        <v>0</v>
      </c>
      <c r="E185" s="163">
        <v>0</v>
      </c>
      <c r="F185" s="163">
        <v>0</v>
      </c>
      <c r="G185" s="163">
        <v>0</v>
      </c>
      <c r="H185" s="163">
        <v>0</v>
      </c>
      <c r="I185" s="163">
        <v>0</v>
      </c>
      <c r="J185" s="163">
        <v>0</v>
      </c>
      <c r="K185" s="163">
        <v>0</v>
      </c>
      <c r="L185" s="163">
        <v>0</v>
      </c>
      <c r="M185" s="163">
        <v>0</v>
      </c>
      <c r="N185" s="163">
        <v>0</v>
      </c>
      <c r="O185" s="163">
        <v>0</v>
      </c>
      <c r="P185" s="163">
        <v>0</v>
      </c>
      <c r="Q185" s="163">
        <v>0</v>
      </c>
      <c r="R185" s="163">
        <v>0</v>
      </c>
      <c r="S185" s="163">
        <v>0</v>
      </c>
      <c r="T185" s="163">
        <v>0</v>
      </c>
      <c r="U185" s="163">
        <v>0</v>
      </c>
      <c r="V185" s="163">
        <v>0</v>
      </c>
      <c r="W185" s="163">
        <v>0</v>
      </c>
      <c r="X185" s="156">
        <f>IFERROR(VLOOKUP(A185,Table7[],2,FALSE),0)</f>
        <v>0</v>
      </c>
      <c r="Y185" s="163">
        <v>0</v>
      </c>
      <c r="Z185" s="163">
        <v>0</v>
      </c>
      <c r="AA185" s="163">
        <v>0</v>
      </c>
      <c r="AB185" s="163">
        <v>0</v>
      </c>
      <c r="AC185" s="163">
        <v>0</v>
      </c>
      <c r="AD185" s="163">
        <v>0</v>
      </c>
      <c r="AE185" s="163">
        <v>0</v>
      </c>
      <c r="AF185" s="163">
        <v>0</v>
      </c>
      <c r="AG185" s="163">
        <v>0</v>
      </c>
      <c r="AH185" s="163">
        <v>0</v>
      </c>
      <c r="AI185" s="164">
        <v>0</v>
      </c>
      <c r="AJ185" s="141">
        <f t="shared" ref="AJ185" si="176">SUMIF(C186:AI186,"Yes",C185:AI185)</f>
        <v>0</v>
      </c>
      <c r="AK185" s="142">
        <f>AJ185+B185</f>
        <v>2560442.4500118033</v>
      </c>
    </row>
    <row r="186" spans="1:37" ht="19.5" customHeight="1" x14ac:dyDescent="0.4">
      <c r="A186" s="158"/>
      <c r="B186" s="159"/>
      <c r="C186" s="135"/>
      <c r="D186" s="136"/>
      <c r="E186" s="136"/>
      <c r="F186" s="136"/>
      <c r="G186" s="136"/>
      <c r="H186" s="136"/>
      <c r="I186" s="136"/>
      <c r="J186" s="136"/>
      <c r="K186" s="136"/>
      <c r="L186" s="136"/>
      <c r="M186" s="136"/>
      <c r="N186" s="136"/>
      <c r="O186" s="136"/>
      <c r="P186" s="136"/>
      <c r="Q186" s="136"/>
      <c r="R186" s="136"/>
      <c r="S186" s="136"/>
      <c r="T186" s="136"/>
      <c r="U186" s="136"/>
      <c r="V186" s="136"/>
      <c r="W186" s="136"/>
      <c r="X186" s="136"/>
      <c r="Y186" s="136"/>
      <c r="Z186" s="136"/>
      <c r="AA186" s="136"/>
      <c r="AB186" s="136"/>
      <c r="AC186" s="136"/>
      <c r="AD186" s="136"/>
      <c r="AE186" s="136"/>
      <c r="AF186" s="136"/>
      <c r="AG186" s="136"/>
      <c r="AH186" s="136"/>
      <c r="AI186" s="137"/>
      <c r="AJ186" s="144" t="str">
        <f t="shared" ref="AJ186" si="177">IF(COUNTIF(C186:AI186,"Yes")&lt;1,"",CONCATENATE("Count of 'Yes' : ",COUNTIF(C186:AI186,"Yes")))</f>
        <v/>
      </c>
      <c r="AK186" s="143"/>
    </row>
    <row r="187" spans="1:37" x14ac:dyDescent="0.4">
      <c r="A187" s="160" t="s">
        <v>101</v>
      </c>
      <c r="B187" s="161">
        <f>'Step1 - Def and Mod Analysis'!U100</f>
        <v>7520219.9999999991</v>
      </c>
      <c r="C187" s="162">
        <v>0</v>
      </c>
      <c r="D187" s="163">
        <v>0</v>
      </c>
      <c r="E187" s="163">
        <v>0</v>
      </c>
      <c r="F187" s="163">
        <v>0</v>
      </c>
      <c r="G187" s="163">
        <v>137200</v>
      </c>
      <c r="H187" s="163">
        <v>4795140</v>
      </c>
      <c r="I187" s="163">
        <v>0</v>
      </c>
      <c r="J187" s="163">
        <v>0</v>
      </c>
      <c r="K187" s="163">
        <v>0</v>
      </c>
      <c r="L187" s="163">
        <v>0</v>
      </c>
      <c r="M187" s="163">
        <v>0</v>
      </c>
      <c r="N187" s="163">
        <v>0</v>
      </c>
      <c r="O187" s="163">
        <v>0</v>
      </c>
      <c r="P187" s="163">
        <v>0</v>
      </c>
      <c r="Q187" s="163">
        <v>0</v>
      </c>
      <c r="R187" s="163">
        <v>0</v>
      </c>
      <c r="S187" s="163">
        <v>0</v>
      </c>
      <c r="T187" s="163">
        <v>0</v>
      </c>
      <c r="U187" s="163">
        <v>0</v>
      </c>
      <c r="V187" s="163">
        <v>0</v>
      </c>
      <c r="W187" s="163">
        <v>0</v>
      </c>
      <c r="X187" s="156">
        <f>IFERROR(VLOOKUP(A187,Table7[],2,FALSE),0)</f>
        <v>587141.87131199986</v>
      </c>
      <c r="Y187" s="163">
        <v>0</v>
      </c>
      <c r="Z187" s="163">
        <v>0</v>
      </c>
      <c r="AA187" s="163">
        <v>0</v>
      </c>
      <c r="AB187" s="163">
        <v>5547926.1376</v>
      </c>
      <c r="AC187" s="163">
        <v>0</v>
      </c>
      <c r="AD187" s="163">
        <v>0</v>
      </c>
      <c r="AE187" s="163">
        <v>205800</v>
      </c>
      <c r="AF187" s="163">
        <v>62720</v>
      </c>
      <c r="AG187" s="163">
        <v>0</v>
      </c>
      <c r="AH187" s="163">
        <v>0</v>
      </c>
      <c r="AI187" s="164">
        <v>1054480</v>
      </c>
      <c r="AJ187" s="141">
        <f t="shared" ref="AJ187" si="178">SUMIF(C188:AI188,"Yes",C187:AI187)</f>
        <v>0</v>
      </c>
      <c r="AK187" s="142">
        <f>AJ187+B187</f>
        <v>7520219.9999999991</v>
      </c>
    </row>
    <row r="188" spans="1:37" ht="19.5" customHeight="1" x14ac:dyDescent="0.4">
      <c r="A188" s="158"/>
      <c r="B188" s="159"/>
      <c r="C188" s="135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  <c r="W188" s="136"/>
      <c r="X188" s="136"/>
      <c r="Y188" s="136"/>
      <c r="Z188" s="136"/>
      <c r="AA188" s="136"/>
      <c r="AB188" s="136"/>
      <c r="AC188" s="136"/>
      <c r="AD188" s="136"/>
      <c r="AE188" s="136"/>
      <c r="AF188" s="136"/>
      <c r="AG188" s="136"/>
      <c r="AH188" s="136"/>
      <c r="AI188" s="137"/>
      <c r="AJ188" s="144" t="str">
        <f t="shared" ref="AJ188" si="179">IF(COUNTIF(C188:AI188,"Yes")&lt;1,"",CONCATENATE("Count of 'Yes' : ",COUNTIF(C188:AI188,"Yes")))</f>
        <v/>
      </c>
      <c r="AK188" s="143"/>
    </row>
    <row r="189" spans="1:37" x14ac:dyDescent="0.4">
      <c r="A189" s="160" t="s">
        <v>103</v>
      </c>
      <c r="B189" s="161">
        <f>'Step1 - Def and Mod Analysis'!U101</f>
        <v>2095244.9741388522</v>
      </c>
      <c r="C189" s="162">
        <v>0</v>
      </c>
      <c r="D189" s="163">
        <v>0</v>
      </c>
      <c r="E189" s="163">
        <v>0</v>
      </c>
      <c r="F189" s="163">
        <v>0</v>
      </c>
      <c r="G189" s="163">
        <v>137200</v>
      </c>
      <c r="H189" s="163">
        <v>0</v>
      </c>
      <c r="I189" s="163">
        <v>0</v>
      </c>
      <c r="J189" s="163">
        <v>0</v>
      </c>
      <c r="K189" s="163">
        <v>0</v>
      </c>
      <c r="L189" s="163">
        <v>0</v>
      </c>
      <c r="M189" s="163">
        <v>0</v>
      </c>
      <c r="N189" s="163">
        <v>0</v>
      </c>
      <c r="O189" s="163">
        <v>0</v>
      </c>
      <c r="P189" s="163">
        <v>0</v>
      </c>
      <c r="Q189" s="163">
        <v>0</v>
      </c>
      <c r="R189" s="163">
        <v>0</v>
      </c>
      <c r="S189" s="163">
        <v>0</v>
      </c>
      <c r="T189" s="163">
        <v>0</v>
      </c>
      <c r="U189" s="163">
        <v>0</v>
      </c>
      <c r="V189" s="163">
        <v>0</v>
      </c>
      <c r="W189" s="163">
        <v>0</v>
      </c>
      <c r="X189" s="156">
        <f>IFERROR(VLOOKUP(A189,Table7[],2,FALSE),0)</f>
        <v>787717.48759999999</v>
      </c>
      <c r="Y189" s="163">
        <v>0</v>
      </c>
      <c r="Z189" s="163">
        <v>0</v>
      </c>
      <c r="AA189" s="163">
        <v>0</v>
      </c>
      <c r="AB189" s="163">
        <v>0</v>
      </c>
      <c r="AC189" s="163">
        <v>0</v>
      </c>
      <c r="AD189" s="163">
        <v>0</v>
      </c>
      <c r="AE189" s="163">
        <v>205800</v>
      </c>
      <c r="AF189" s="163">
        <v>0</v>
      </c>
      <c r="AG189" s="163">
        <v>0</v>
      </c>
      <c r="AH189" s="163">
        <v>3941266</v>
      </c>
      <c r="AI189" s="164">
        <v>0</v>
      </c>
      <c r="AJ189" s="141">
        <f t="shared" ref="AJ189" si="180">SUMIF(C190:AI190,"Yes",C189:AI189)</f>
        <v>0</v>
      </c>
      <c r="AK189" s="142">
        <f>AJ189+B189</f>
        <v>2095244.9741388522</v>
      </c>
    </row>
    <row r="190" spans="1:37" ht="19.5" customHeight="1" x14ac:dyDescent="0.4">
      <c r="A190" s="158"/>
      <c r="B190" s="159"/>
      <c r="C190" s="135"/>
      <c r="D190" s="136"/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  <c r="O190" s="136"/>
      <c r="P190" s="136"/>
      <c r="Q190" s="136"/>
      <c r="R190" s="136"/>
      <c r="S190" s="136"/>
      <c r="T190" s="136"/>
      <c r="U190" s="136"/>
      <c r="V190" s="136"/>
      <c r="W190" s="136"/>
      <c r="X190" s="136"/>
      <c r="Y190" s="136"/>
      <c r="Z190" s="136"/>
      <c r="AA190" s="136"/>
      <c r="AB190" s="136"/>
      <c r="AC190" s="136"/>
      <c r="AD190" s="136"/>
      <c r="AE190" s="136"/>
      <c r="AF190" s="136"/>
      <c r="AG190" s="136"/>
      <c r="AH190" s="136"/>
      <c r="AI190" s="137"/>
      <c r="AJ190" s="144" t="str">
        <f t="shared" ref="AJ190" si="181">IF(COUNTIF(C190:AI190,"Yes")&lt;1,"",CONCATENATE("Count of 'Yes' : ",COUNTIF(C190:AI190,"Yes")))</f>
        <v/>
      </c>
      <c r="AK190" s="143"/>
    </row>
    <row r="191" spans="1:37" x14ac:dyDescent="0.4">
      <c r="A191" s="160" t="s">
        <v>3</v>
      </c>
      <c r="B191" s="161">
        <f>'Step1 - Def and Mod Analysis'!U102</f>
        <v>0</v>
      </c>
      <c r="C191" s="162">
        <v>0</v>
      </c>
      <c r="D191" s="163">
        <v>0</v>
      </c>
      <c r="E191" s="163">
        <v>0</v>
      </c>
      <c r="F191" s="163">
        <v>0</v>
      </c>
      <c r="G191" s="163">
        <v>0</v>
      </c>
      <c r="H191" s="163">
        <v>0</v>
      </c>
      <c r="I191" s="163">
        <v>0</v>
      </c>
      <c r="J191" s="163">
        <v>0</v>
      </c>
      <c r="K191" s="163">
        <v>0</v>
      </c>
      <c r="L191" s="163">
        <v>0</v>
      </c>
      <c r="M191" s="163">
        <v>0</v>
      </c>
      <c r="N191" s="163">
        <v>0</v>
      </c>
      <c r="O191" s="163">
        <v>0</v>
      </c>
      <c r="P191" s="163">
        <v>0</v>
      </c>
      <c r="Q191" s="163">
        <v>0</v>
      </c>
      <c r="R191" s="163">
        <v>0</v>
      </c>
      <c r="S191" s="163">
        <v>0</v>
      </c>
      <c r="T191" s="163">
        <v>0</v>
      </c>
      <c r="U191" s="163">
        <v>0</v>
      </c>
      <c r="V191" s="163">
        <v>0</v>
      </c>
      <c r="W191" s="163">
        <v>0</v>
      </c>
      <c r="X191" s="156">
        <f>IFERROR(VLOOKUP(A191,Table7[],2,FALSE),0)</f>
        <v>0</v>
      </c>
      <c r="Y191" s="163">
        <v>0</v>
      </c>
      <c r="Z191" s="163">
        <v>0</v>
      </c>
      <c r="AA191" s="163">
        <v>0</v>
      </c>
      <c r="AB191" s="163">
        <v>0</v>
      </c>
      <c r="AC191" s="163">
        <v>0</v>
      </c>
      <c r="AD191" s="163">
        <v>0</v>
      </c>
      <c r="AE191" s="163">
        <v>0</v>
      </c>
      <c r="AF191" s="163">
        <v>0</v>
      </c>
      <c r="AG191" s="163">
        <v>0</v>
      </c>
      <c r="AH191" s="163">
        <v>0</v>
      </c>
      <c r="AI191" s="164">
        <v>0</v>
      </c>
      <c r="AJ191" s="141">
        <f t="shared" ref="AJ191" si="182">SUMIF(C192:AI192,"Yes",C191:AI191)</f>
        <v>0</v>
      </c>
      <c r="AK191" s="142">
        <f>AJ191+B191</f>
        <v>0</v>
      </c>
    </row>
    <row r="192" spans="1:37" ht="19.5" customHeight="1" x14ac:dyDescent="0.4">
      <c r="A192" s="158"/>
      <c r="B192" s="159"/>
      <c r="C192" s="135"/>
      <c r="D192" s="136"/>
      <c r="E192" s="136"/>
      <c r="F192" s="136"/>
      <c r="G192" s="136"/>
      <c r="H192" s="136"/>
      <c r="I192" s="136"/>
      <c r="J192" s="136"/>
      <c r="K192" s="136"/>
      <c r="L192" s="136"/>
      <c r="M192" s="136"/>
      <c r="N192" s="136"/>
      <c r="O192" s="136"/>
      <c r="P192" s="136"/>
      <c r="Q192" s="136"/>
      <c r="R192" s="136"/>
      <c r="S192" s="136"/>
      <c r="T192" s="136"/>
      <c r="U192" s="136"/>
      <c r="V192" s="136"/>
      <c r="W192" s="136"/>
      <c r="X192" s="136"/>
      <c r="Y192" s="136"/>
      <c r="Z192" s="136"/>
      <c r="AA192" s="136"/>
      <c r="AB192" s="136"/>
      <c r="AC192" s="136"/>
      <c r="AD192" s="136"/>
      <c r="AE192" s="136"/>
      <c r="AF192" s="136"/>
      <c r="AG192" s="136"/>
      <c r="AH192" s="136"/>
      <c r="AI192" s="137"/>
      <c r="AJ192" s="144" t="str">
        <f t="shared" ref="AJ192" si="183">IF(COUNTIF(C192:AI192,"Yes")&lt;1,"",CONCATENATE("Count of 'Yes' : ",COUNTIF(C192:AI192,"Yes")))</f>
        <v/>
      </c>
      <c r="AK192" s="143"/>
    </row>
    <row r="193" spans="1:37" x14ac:dyDescent="0.4">
      <c r="A193" s="160" t="s">
        <v>104</v>
      </c>
      <c r="B193" s="161">
        <f>'Step1 - Def and Mod Analysis'!U103</f>
        <v>373850.6244584957</v>
      </c>
      <c r="C193" s="162">
        <v>0</v>
      </c>
      <c r="D193" s="163">
        <v>0</v>
      </c>
      <c r="E193" s="163">
        <v>0</v>
      </c>
      <c r="F193" s="163">
        <v>0</v>
      </c>
      <c r="G193" s="163">
        <v>0</v>
      </c>
      <c r="H193" s="163">
        <v>0</v>
      </c>
      <c r="I193" s="163">
        <v>0</v>
      </c>
      <c r="J193" s="163">
        <v>0</v>
      </c>
      <c r="K193" s="163">
        <v>0</v>
      </c>
      <c r="L193" s="163">
        <v>0</v>
      </c>
      <c r="M193" s="163">
        <v>0</v>
      </c>
      <c r="N193" s="163">
        <v>0</v>
      </c>
      <c r="O193" s="163">
        <v>0</v>
      </c>
      <c r="P193" s="163">
        <v>0</v>
      </c>
      <c r="Q193" s="163">
        <v>0</v>
      </c>
      <c r="R193" s="163">
        <v>60020368</v>
      </c>
      <c r="S193" s="163">
        <v>0</v>
      </c>
      <c r="T193" s="163">
        <v>0</v>
      </c>
      <c r="U193" s="163">
        <v>0</v>
      </c>
      <c r="V193" s="163">
        <v>0</v>
      </c>
      <c r="W193" s="163">
        <v>0</v>
      </c>
      <c r="X193" s="156">
        <f>IFERROR(VLOOKUP(A193,Table7[],2,FALSE),0)</f>
        <v>353563.40477999998</v>
      </c>
      <c r="Y193" s="163">
        <v>0</v>
      </c>
      <c r="Z193" s="163">
        <v>0</v>
      </c>
      <c r="AA193" s="163">
        <v>0</v>
      </c>
      <c r="AB193" s="163">
        <v>0</v>
      </c>
      <c r="AC193" s="163">
        <v>0</v>
      </c>
      <c r="AD193" s="163">
        <v>0</v>
      </c>
      <c r="AE193" s="163">
        <v>0</v>
      </c>
      <c r="AF193" s="163">
        <v>0</v>
      </c>
      <c r="AG193" s="163">
        <v>0</v>
      </c>
      <c r="AH193" s="163">
        <v>0</v>
      </c>
      <c r="AI193" s="164">
        <v>519400</v>
      </c>
      <c r="AJ193" s="141">
        <f t="shared" ref="AJ193" si="184">SUMIF(C194:AI194,"Yes",C193:AI193)</f>
        <v>0</v>
      </c>
      <c r="AK193" s="142">
        <f>AJ193+B193</f>
        <v>373850.6244584957</v>
      </c>
    </row>
    <row r="194" spans="1:37" ht="19.5" customHeight="1" x14ac:dyDescent="0.4">
      <c r="A194" s="158"/>
      <c r="B194" s="159"/>
      <c r="C194" s="135"/>
      <c r="D194" s="136"/>
      <c r="E194" s="136"/>
      <c r="F194" s="136"/>
      <c r="G194" s="136"/>
      <c r="H194" s="136"/>
      <c r="I194" s="136"/>
      <c r="J194" s="136"/>
      <c r="K194" s="136"/>
      <c r="L194" s="136"/>
      <c r="M194" s="136"/>
      <c r="N194" s="136"/>
      <c r="O194" s="136"/>
      <c r="P194" s="136"/>
      <c r="Q194" s="136"/>
      <c r="R194" s="136"/>
      <c r="S194" s="136"/>
      <c r="T194" s="136"/>
      <c r="U194" s="136"/>
      <c r="V194" s="136"/>
      <c r="W194" s="136"/>
      <c r="X194" s="136"/>
      <c r="Y194" s="136"/>
      <c r="Z194" s="136"/>
      <c r="AA194" s="136"/>
      <c r="AB194" s="136"/>
      <c r="AC194" s="136"/>
      <c r="AD194" s="136"/>
      <c r="AE194" s="136"/>
      <c r="AF194" s="136"/>
      <c r="AG194" s="136"/>
      <c r="AH194" s="136"/>
      <c r="AI194" s="137"/>
      <c r="AJ194" s="144" t="str">
        <f t="shared" ref="AJ194" si="185">IF(COUNTIF(C194:AI194,"Yes")&lt;1,"",CONCATENATE("Count of 'Yes' : ",COUNTIF(C194:AI194,"Yes")))</f>
        <v/>
      </c>
      <c r="AK194" s="143"/>
    </row>
    <row r="195" spans="1:37" x14ac:dyDescent="0.4">
      <c r="A195" s="160" t="s">
        <v>105</v>
      </c>
      <c r="B195" s="161">
        <f>'Step1 - Def and Mod Analysis'!U104</f>
        <v>4284839.7460937081</v>
      </c>
      <c r="C195" s="162">
        <v>0</v>
      </c>
      <c r="D195" s="163">
        <v>0</v>
      </c>
      <c r="E195" s="163">
        <v>0</v>
      </c>
      <c r="F195" s="163">
        <v>0</v>
      </c>
      <c r="G195" s="163">
        <v>137200</v>
      </c>
      <c r="H195" s="163">
        <v>0</v>
      </c>
      <c r="I195" s="163">
        <v>0</v>
      </c>
      <c r="J195" s="163">
        <v>0</v>
      </c>
      <c r="K195" s="163">
        <v>0</v>
      </c>
      <c r="L195" s="163">
        <v>0</v>
      </c>
      <c r="M195" s="163">
        <v>0</v>
      </c>
      <c r="N195" s="163">
        <v>0</v>
      </c>
      <c r="O195" s="163">
        <v>0</v>
      </c>
      <c r="P195" s="163">
        <v>0</v>
      </c>
      <c r="Q195" s="163">
        <v>0</v>
      </c>
      <c r="R195" s="163">
        <v>0</v>
      </c>
      <c r="S195" s="163">
        <v>0</v>
      </c>
      <c r="T195" s="163">
        <v>0</v>
      </c>
      <c r="U195" s="163">
        <v>0</v>
      </c>
      <c r="V195" s="163">
        <v>0</v>
      </c>
      <c r="W195" s="163">
        <v>123574.08</v>
      </c>
      <c r="X195" s="156">
        <f>IFERROR(VLOOKUP(A195,Table7[],2,FALSE),0)</f>
        <v>805209.54715999996</v>
      </c>
      <c r="Y195" s="163">
        <v>0</v>
      </c>
      <c r="Z195" s="163">
        <v>0</v>
      </c>
      <c r="AA195" s="163">
        <v>0</v>
      </c>
      <c r="AB195" s="163">
        <v>0</v>
      </c>
      <c r="AC195" s="163">
        <v>0</v>
      </c>
      <c r="AD195" s="163">
        <v>1841616</v>
      </c>
      <c r="AE195" s="163">
        <v>0</v>
      </c>
      <c r="AF195" s="163">
        <v>78400</v>
      </c>
      <c r="AG195" s="163">
        <v>4226348</v>
      </c>
      <c r="AH195" s="163">
        <v>8098328</v>
      </c>
      <c r="AI195" s="164">
        <v>0</v>
      </c>
      <c r="AJ195" s="141">
        <f t="shared" ref="AJ195" si="186">SUMIF(C196:AI196,"Yes",C195:AI195)</f>
        <v>0</v>
      </c>
      <c r="AK195" s="142">
        <f>AJ195+B195</f>
        <v>4284839.7460937081</v>
      </c>
    </row>
    <row r="196" spans="1:37" ht="19.5" customHeight="1" x14ac:dyDescent="0.4">
      <c r="A196" s="158"/>
      <c r="B196" s="159"/>
      <c r="C196" s="135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  <c r="O196" s="136"/>
      <c r="P196" s="136"/>
      <c r="Q196" s="136"/>
      <c r="R196" s="136"/>
      <c r="S196" s="136"/>
      <c r="T196" s="136"/>
      <c r="U196" s="136"/>
      <c r="V196" s="136"/>
      <c r="W196" s="136"/>
      <c r="X196" s="136"/>
      <c r="Y196" s="136"/>
      <c r="Z196" s="136"/>
      <c r="AA196" s="136"/>
      <c r="AB196" s="136"/>
      <c r="AC196" s="136"/>
      <c r="AD196" s="136"/>
      <c r="AE196" s="136"/>
      <c r="AF196" s="136"/>
      <c r="AG196" s="136"/>
      <c r="AH196" s="136"/>
      <c r="AI196" s="137"/>
      <c r="AJ196" s="144" t="str">
        <f t="shared" ref="AJ196" si="187">IF(COUNTIF(C196:AI196,"Yes")&lt;1,"",CONCATENATE("Count of 'Yes' : ",COUNTIF(C196:AI196,"Yes")))</f>
        <v/>
      </c>
      <c r="AK196" s="143"/>
    </row>
    <row r="197" spans="1:37" x14ac:dyDescent="0.4">
      <c r="A197" s="160" t="s">
        <v>2</v>
      </c>
      <c r="B197" s="161">
        <f>'Step1 - Def and Mod Analysis'!U105</f>
        <v>0</v>
      </c>
      <c r="C197" s="162">
        <v>0</v>
      </c>
      <c r="D197" s="163">
        <v>0</v>
      </c>
      <c r="E197" s="163">
        <v>0</v>
      </c>
      <c r="F197" s="163">
        <v>0</v>
      </c>
      <c r="G197" s="163">
        <v>0</v>
      </c>
      <c r="H197" s="163">
        <v>0</v>
      </c>
      <c r="I197" s="163">
        <v>0</v>
      </c>
      <c r="J197" s="163">
        <v>0</v>
      </c>
      <c r="K197" s="163">
        <v>0</v>
      </c>
      <c r="L197" s="163">
        <v>0</v>
      </c>
      <c r="M197" s="163">
        <v>0</v>
      </c>
      <c r="N197" s="163">
        <v>0</v>
      </c>
      <c r="O197" s="163">
        <v>0</v>
      </c>
      <c r="P197" s="163">
        <v>0</v>
      </c>
      <c r="Q197" s="163">
        <v>0</v>
      </c>
      <c r="R197" s="163">
        <v>0</v>
      </c>
      <c r="S197" s="163">
        <v>0</v>
      </c>
      <c r="T197" s="163">
        <v>0</v>
      </c>
      <c r="U197" s="163">
        <v>0</v>
      </c>
      <c r="V197" s="163">
        <v>0</v>
      </c>
      <c r="W197" s="163">
        <v>0</v>
      </c>
      <c r="X197" s="156">
        <f>IFERROR(VLOOKUP(A197,Table7[],2,FALSE),0)</f>
        <v>0</v>
      </c>
      <c r="Y197" s="163">
        <v>0</v>
      </c>
      <c r="Z197" s="163">
        <v>0</v>
      </c>
      <c r="AA197" s="163">
        <v>0</v>
      </c>
      <c r="AB197" s="163">
        <v>0</v>
      </c>
      <c r="AC197" s="163">
        <v>0</v>
      </c>
      <c r="AD197" s="163">
        <v>0</v>
      </c>
      <c r="AE197" s="163">
        <v>0</v>
      </c>
      <c r="AF197" s="163">
        <v>0</v>
      </c>
      <c r="AG197" s="163">
        <v>0</v>
      </c>
      <c r="AH197" s="163">
        <v>0</v>
      </c>
      <c r="AI197" s="164">
        <v>0</v>
      </c>
      <c r="AJ197" s="141">
        <f t="shared" ref="AJ197" si="188">SUMIF(C198:AI198,"Yes",C197:AI197)</f>
        <v>0</v>
      </c>
      <c r="AK197" s="142">
        <f>AJ197+B197</f>
        <v>0</v>
      </c>
    </row>
    <row r="198" spans="1:37" ht="19.5" customHeight="1" x14ac:dyDescent="0.4">
      <c r="A198" s="158"/>
      <c r="B198" s="159"/>
      <c r="C198" s="135"/>
      <c r="D198" s="136"/>
      <c r="E198" s="136"/>
      <c r="F198" s="136"/>
      <c r="G198" s="136"/>
      <c r="H198" s="136"/>
      <c r="I198" s="136"/>
      <c r="J198" s="136"/>
      <c r="K198" s="136"/>
      <c r="L198" s="136"/>
      <c r="M198" s="136"/>
      <c r="N198" s="136"/>
      <c r="O198" s="136"/>
      <c r="P198" s="136"/>
      <c r="Q198" s="136"/>
      <c r="R198" s="136"/>
      <c r="S198" s="136"/>
      <c r="T198" s="136"/>
      <c r="U198" s="136"/>
      <c r="V198" s="136"/>
      <c r="W198" s="136"/>
      <c r="X198" s="136"/>
      <c r="Y198" s="136"/>
      <c r="Z198" s="136"/>
      <c r="AA198" s="136"/>
      <c r="AB198" s="136"/>
      <c r="AC198" s="136"/>
      <c r="AD198" s="136"/>
      <c r="AE198" s="136"/>
      <c r="AF198" s="136"/>
      <c r="AG198" s="136"/>
      <c r="AH198" s="136"/>
      <c r="AI198" s="137"/>
      <c r="AJ198" s="144" t="str">
        <f t="shared" ref="AJ198" si="189">IF(COUNTIF(C198:AI198,"Yes")&lt;1,"",CONCATENATE("Count of 'Yes' : ",COUNTIF(C198:AI198,"Yes")))</f>
        <v/>
      </c>
      <c r="AK198" s="143"/>
    </row>
    <row r="199" spans="1:37" x14ac:dyDescent="0.4">
      <c r="A199" s="160" t="s">
        <v>127</v>
      </c>
      <c r="B199" s="161">
        <f>'Step1 - Def and Mod Analysis'!U106</f>
        <v>105380000</v>
      </c>
      <c r="C199" s="162">
        <v>0</v>
      </c>
      <c r="D199" s="163">
        <v>0</v>
      </c>
      <c r="E199" s="163">
        <v>0</v>
      </c>
      <c r="F199" s="163">
        <v>0</v>
      </c>
      <c r="G199" s="163">
        <v>137200</v>
      </c>
      <c r="H199" s="163">
        <v>0</v>
      </c>
      <c r="I199" s="163">
        <v>0</v>
      </c>
      <c r="J199" s="163">
        <v>1940400</v>
      </c>
      <c r="K199" s="163">
        <v>0</v>
      </c>
      <c r="L199" s="163">
        <v>0</v>
      </c>
      <c r="M199" s="163">
        <v>0</v>
      </c>
      <c r="N199" s="163">
        <v>0</v>
      </c>
      <c r="O199" s="163">
        <v>8202649</v>
      </c>
      <c r="P199" s="163">
        <v>0</v>
      </c>
      <c r="Q199" s="163">
        <v>0</v>
      </c>
      <c r="R199" s="163">
        <v>0</v>
      </c>
      <c r="S199" s="163">
        <v>0</v>
      </c>
      <c r="T199" s="163">
        <v>105381163</v>
      </c>
      <c r="U199" s="163">
        <v>0</v>
      </c>
      <c r="V199" s="163">
        <v>0</v>
      </c>
      <c r="W199" s="163">
        <v>0</v>
      </c>
      <c r="X199" s="156">
        <f>IFERROR(VLOOKUP(A199,Table7[],2,FALSE),0)</f>
        <v>3783404.8079999997</v>
      </c>
      <c r="Y199" s="163">
        <v>0</v>
      </c>
      <c r="Z199" s="163">
        <v>0</v>
      </c>
      <c r="AA199" s="163">
        <v>0</v>
      </c>
      <c r="AB199" s="163">
        <v>0</v>
      </c>
      <c r="AC199" s="163">
        <v>390040</v>
      </c>
      <c r="AD199" s="163">
        <v>3372768</v>
      </c>
      <c r="AE199" s="163">
        <v>205800</v>
      </c>
      <c r="AF199" s="163">
        <v>0</v>
      </c>
      <c r="AG199" s="163">
        <v>0</v>
      </c>
      <c r="AH199" s="163">
        <v>11697672</v>
      </c>
      <c r="AI199" s="164">
        <v>0</v>
      </c>
      <c r="AJ199" s="141">
        <f t="shared" ref="AJ199" si="190">SUMIF(C200:AI200,"Yes",C199:AI199)</f>
        <v>0</v>
      </c>
      <c r="AK199" s="142">
        <f>AJ199+B199</f>
        <v>105380000</v>
      </c>
    </row>
    <row r="200" spans="1:37" ht="19.5" customHeight="1" x14ac:dyDescent="0.4">
      <c r="A200" s="158"/>
      <c r="B200" s="159"/>
      <c r="C200" s="135"/>
      <c r="D200" s="136"/>
      <c r="E200" s="136"/>
      <c r="F200" s="136"/>
      <c r="G200" s="136"/>
      <c r="H200" s="136"/>
      <c r="I200" s="136"/>
      <c r="J200" s="136"/>
      <c r="K200" s="136"/>
      <c r="L200" s="136"/>
      <c r="M200" s="136"/>
      <c r="N200" s="136"/>
      <c r="O200" s="136"/>
      <c r="P200" s="136"/>
      <c r="Q200" s="136"/>
      <c r="R200" s="136"/>
      <c r="S200" s="136"/>
      <c r="T200" s="136"/>
      <c r="U200" s="136"/>
      <c r="V200" s="136"/>
      <c r="W200" s="136"/>
      <c r="X200" s="136"/>
      <c r="Y200" s="136"/>
      <c r="Z200" s="136"/>
      <c r="AA200" s="136"/>
      <c r="AB200" s="136"/>
      <c r="AC200" s="136"/>
      <c r="AD200" s="136"/>
      <c r="AE200" s="136"/>
      <c r="AF200" s="136"/>
      <c r="AG200" s="136"/>
      <c r="AH200" s="136"/>
      <c r="AI200" s="137"/>
      <c r="AJ200" s="144" t="str">
        <f t="shared" ref="AJ200" si="191">IF(COUNTIF(C200:AI200,"Yes")&lt;1,"",CONCATENATE("Count of 'Yes' : ",COUNTIF(C200:AI200,"Yes")))</f>
        <v/>
      </c>
      <c r="AK200" s="143"/>
    </row>
    <row r="201" spans="1:37" x14ac:dyDescent="0.4">
      <c r="A201" s="160" t="s">
        <v>106</v>
      </c>
      <c r="B201" s="161">
        <f>'Step1 - Def and Mod Analysis'!U107</f>
        <v>650935.16929650726</v>
      </c>
      <c r="C201" s="162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56">
        <f>IFERROR(VLOOKUP(A201,Table7[],2,FALSE),0)</f>
        <v>0</v>
      </c>
      <c r="Y201" s="163"/>
      <c r="Z201" s="163"/>
      <c r="AA201" s="163"/>
      <c r="AB201" s="163"/>
      <c r="AC201" s="163"/>
      <c r="AD201" s="163"/>
      <c r="AE201" s="163"/>
      <c r="AF201" s="163"/>
      <c r="AG201" s="163">
        <v>4226348</v>
      </c>
      <c r="AH201" s="163"/>
      <c r="AI201" s="164"/>
      <c r="AJ201" s="141">
        <f t="shared" ref="AJ201" si="192">SUMIF(C202:AI202,"Yes",C201:AI201)</f>
        <v>0</v>
      </c>
      <c r="AK201" s="142">
        <f>AJ201+B201</f>
        <v>650935.16929650726</v>
      </c>
    </row>
    <row r="202" spans="1:37" ht="19.5" customHeight="1" x14ac:dyDescent="0.4">
      <c r="A202" s="158"/>
      <c r="B202" s="159"/>
      <c r="C202" s="135"/>
      <c r="D202" s="136"/>
      <c r="E202" s="136"/>
      <c r="F202" s="136"/>
      <c r="G202" s="136"/>
      <c r="H202" s="136"/>
      <c r="I202" s="136"/>
      <c r="J202" s="136"/>
      <c r="K202" s="136"/>
      <c r="L202" s="136"/>
      <c r="M202" s="136"/>
      <c r="N202" s="136"/>
      <c r="O202" s="136"/>
      <c r="P202" s="136"/>
      <c r="Q202" s="136"/>
      <c r="R202" s="136"/>
      <c r="S202" s="136"/>
      <c r="T202" s="136"/>
      <c r="U202" s="136"/>
      <c r="V202" s="136"/>
      <c r="W202" s="136"/>
      <c r="X202" s="136"/>
      <c r="Y202" s="136"/>
      <c r="Z202" s="136"/>
      <c r="AA202" s="136"/>
      <c r="AB202" s="136"/>
      <c r="AC202" s="136"/>
      <c r="AD202" s="136"/>
      <c r="AE202" s="136"/>
      <c r="AF202" s="136"/>
      <c r="AG202" s="136"/>
      <c r="AH202" s="136"/>
      <c r="AI202" s="137"/>
      <c r="AJ202" s="144" t="str">
        <f t="shared" ref="AJ202" si="193">IF(COUNTIF(C202:AI202,"Yes")&lt;1,"",CONCATENATE("Count of 'Yes' : ",COUNTIF(C202:AI202,"Yes")))</f>
        <v/>
      </c>
      <c r="AK202" s="143"/>
    </row>
    <row r="203" spans="1:37" x14ac:dyDescent="0.4">
      <c r="A203" s="160" t="s">
        <v>107</v>
      </c>
      <c r="B203" s="161">
        <f>'Step1 - Def and Mod Analysis'!U108</f>
        <v>45944.712603525753</v>
      </c>
      <c r="C203" s="162">
        <v>0</v>
      </c>
      <c r="D203" s="163">
        <v>0</v>
      </c>
      <c r="E203" s="163">
        <v>0</v>
      </c>
      <c r="F203" s="163">
        <v>0</v>
      </c>
      <c r="G203" s="163">
        <v>0</v>
      </c>
      <c r="H203" s="163">
        <v>0</v>
      </c>
      <c r="I203" s="163">
        <v>0</v>
      </c>
      <c r="J203" s="163">
        <v>0</v>
      </c>
      <c r="K203" s="163">
        <v>0</v>
      </c>
      <c r="L203" s="163">
        <v>0</v>
      </c>
      <c r="M203" s="163">
        <v>0</v>
      </c>
      <c r="N203" s="163">
        <v>0</v>
      </c>
      <c r="O203" s="163">
        <v>0</v>
      </c>
      <c r="P203" s="163">
        <v>0</v>
      </c>
      <c r="Q203" s="163">
        <v>0</v>
      </c>
      <c r="R203" s="163">
        <v>0</v>
      </c>
      <c r="S203" s="163">
        <v>0</v>
      </c>
      <c r="T203" s="163">
        <v>0</v>
      </c>
      <c r="U203" s="163">
        <v>0</v>
      </c>
      <c r="V203" s="163">
        <v>0</v>
      </c>
      <c r="W203" s="163">
        <v>0</v>
      </c>
      <c r="X203" s="156">
        <f>IFERROR(VLOOKUP(A203,Table7[],2,FALSE),0)</f>
        <v>210188.86346399999</v>
      </c>
      <c r="Y203" s="163">
        <v>0</v>
      </c>
      <c r="Z203" s="163">
        <v>0</v>
      </c>
      <c r="AA203" s="163">
        <v>0</v>
      </c>
      <c r="AB203" s="163">
        <v>0</v>
      </c>
      <c r="AC203" s="163">
        <v>0</v>
      </c>
      <c r="AD203" s="163">
        <v>0</v>
      </c>
      <c r="AE203" s="163">
        <v>0</v>
      </c>
      <c r="AF203" s="163">
        <v>0</v>
      </c>
      <c r="AG203" s="163">
        <v>0</v>
      </c>
      <c r="AH203" s="163">
        <v>0</v>
      </c>
      <c r="AI203" s="164">
        <v>0</v>
      </c>
      <c r="AJ203" s="141">
        <f t="shared" ref="AJ203" si="194">SUMIF(C204:AI204,"Yes",C203:AI203)</f>
        <v>0</v>
      </c>
      <c r="AK203" s="142">
        <f>AJ203+B203</f>
        <v>45944.712603525753</v>
      </c>
    </row>
    <row r="204" spans="1:37" ht="19.5" customHeight="1" x14ac:dyDescent="0.4">
      <c r="A204" s="158"/>
      <c r="B204" s="159"/>
      <c r="C204" s="135"/>
      <c r="D204" s="136"/>
      <c r="E204" s="136"/>
      <c r="F204" s="136"/>
      <c r="G204" s="136"/>
      <c r="H204" s="136"/>
      <c r="I204" s="136"/>
      <c r="J204" s="136"/>
      <c r="K204" s="136"/>
      <c r="L204" s="136"/>
      <c r="M204" s="136"/>
      <c r="N204" s="136"/>
      <c r="O204" s="136"/>
      <c r="P204" s="136"/>
      <c r="Q204" s="136"/>
      <c r="R204" s="136"/>
      <c r="S204" s="136"/>
      <c r="T204" s="136"/>
      <c r="U204" s="136"/>
      <c r="V204" s="136"/>
      <c r="W204" s="136"/>
      <c r="X204" s="136"/>
      <c r="Y204" s="136"/>
      <c r="Z204" s="136"/>
      <c r="AA204" s="136"/>
      <c r="AB204" s="136"/>
      <c r="AC204" s="136"/>
      <c r="AD204" s="136"/>
      <c r="AE204" s="136"/>
      <c r="AF204" s="136"/>
      <c r="AG204" s="136"/>
      <c r="AH204" s="136"/>
      <c r="AI204" s="137"/>
      <c r="AJ204" s="144" t="str">
        <f t="shared" ref="AJ204" si="195">IF(COUNTIF(C204:AI204,"Yes")&lt;1,"",CONCATENATE("Count of 'Yes' : ",COUNTIF(C204:AI204,"Yes")))</f>
        <v/>
      </c>
      <c r="AK204" s="143"/>
    </row>
    <row r="205" spans="1:37" x14ac:dyDescent="0.4">
      <c r="A205" s="160" t="s">
        <v>108</v>
      </c>
      <c r="B205" s="161">
        <f>'Step1 - Def and Mod Analysis'!U109</f>
        <v>4161081.9099536259</v>
      </c>
      <c r="C205" s="162">
        <v>0</v>
      </c>
      <c r="D205" s="163">
        <v>0</v>
      </c>
      <c r="E205" s="163">
        <v>0</v>
      </c>
      <c r="F205" s="163">
        <v>0</v>
      </c>
      <c r="G205" s="163">
        <v>137200</v>
      </c>
      <c r="H205" s="163">
        <v>0</v>
      </c>
      <c r="I205" s="163">
        <v>0</v>
      </c>
      <c r="J205" s="163">
        <v>0</v>
      </c>
      <c r="K205" s="163">
        <v>0</v>
      </c>
      <c r="L205" s="163">
        <v>0</v>
      </c>
      <c r="M205" s="163">
        <v>0</v>
      </c>
      <c r="N205" s="163">
        <v>0</v>
      </c>
      <c r="O205" s="163">
        <v>0</v>
      </c>
      <c r="P205" s="163">
        <v>0</v>
      </c>
      <c r="Q205" s="163">
        <v>0</v>
      </c>
      <c r="R205" s="163">
        <v>0</v>
      </c>
      <c r="S205" s="163">
        <v>0</v>
      </c>
      <c r="T205" s="163">
        <v>0</v>
      </c>
      <c r="U205" s="163">
        <v>0</v>
      </c>
      <c r="V205" s="163">
        <v>0</v>
      </c>
      <c r="W205" s="163">
        <v>0</v>
      </c>
      <c r="X205" s="156">
        <f>IFERROR(VLOOKUP(A205,Table7[],2,FALSE),0)</f>
        <v>443553.66943999997</v>
      </c>
      <c r="Y205" s="163">
        <v>0</v>
      </c>
      <c r="Z205" s="163">
        <v>0</v>
      </c>
      <c r="AA205" s="163">
        <v>0</v>
      </c>
      <c r="AB205" s="163">
        <v>10584</v>
      </c>
      <c r="AC205" s="163">
        <v>0</v>
      </c>
      <c r="AD205" s="163">
        <v>1968624</v>
      </c>
      <c r="AE205" s="163">
        <v>205800</v>
      </c>
      <c r="AF205" s="163">
        <v>0</v>
      </c>
      <c r="AG205" s="163">
        <v>0</v>
      </c>
      <c r="AH205" s="163">
        <v>0</v>
      </c>
      <c r="AI205" s="164">
        <v>0</v>
      </c>
      <c r="AJ205" s="141">
        <f t="shared" ref="AJ205" si="196">SUMIF(C206:AI206,"Yes",C205:AI205)</f>
        <v>0</v>
      </c>
      <c r="AK205" s="142">
        <f>AJ205+B205</f>
        <v>4161081.9099536259</v>
      </c>
    </row>
    <row r="206" spans="1:37" ht="19.5" customHeight="1" x14ac:dyDescent="0.4">
      <c r="A206" s="158"/>
      <c r="B206" s="159"/>
      <c r="C206" s="135"/>
      <c r="D206" s="136"/>
      <c r="E206" s="136"/>
      <c r="F206" s="136"/>
      <c r="G206" s="136"/>
      <c r="H206" s="136"/>
      <c r="I206" s="136"/>
      <c r="J206" s="136"/>
      <c r="K206" s="136"/>
      <c r="L206" s="136"/>
      <c r="M206" s="136"/>
      <c r="N206" s="136"/>
      <c r="O206" s="136"/>
      <c r="P206" s="136"/>
      <c r="Q206" s="136"/>
      <c r="R206" s="136"/>
      <c r="S206" s="136"/>
      <c r="T206" s="136"/>
      <c r="U206" s="136"/>
      <c r="V206" s="136"/>
      <c r="W206" s="136"/>
      <c r="X206" s="136"/>
      <c r="Y206" s="136"/>
      <c r="Z206" s="136"/>
      <c r="AA206" s="136"/>
      <c r="AB206" s="136"/>
      <c r="AC206" s="136"/>
      <c r="AD206" s="136"/>
      <c r="AE206" s="136"/>
      <c r="AF206" s="136"/>
      <c r="AG206" s="136"/>
      <c r="AH206" s="136"/>
      <c r="AI206" s="137"/>
      <c r="AJ206" s="144" t="str">
        <f t="shared" ref="AJ206" si="197">IF(COUNTIF(C206:AI206,"Yes")&lt;1,"",CONCATENATE("Count of 'Yes' : ",COUNTIF(C206:AI206,"Yes")))</f>
        <v/>
      </c>
      <c r="AK206" s="143"/>
    </row>
    <row r="207" spans="1:37" x14ac:dyDescent="0.4">
      <c r="A207" s="160" t="s">
        <v>109</v>
      </c>
      <c r="B207" s="161">
        <f>'Step1 - Def and Mod Analysis'!U110</f>
        <v>549046.63660854567</v>
      </c>
      <c r="C207" s="162">
        <v>0</v>
      </c>
      <c r="D207" s="163">
        <v>0</v>
      </c>
      <c r="E207" s="163">
        <v>0</v>
      </c>
      <c r="F207" s="163">
        <v>0</v>
      </c>
      <c r="G207" s="163">
        <v>0</v>
      </c>
      <c r="H207" s="163">
        <v>0</v>
      </c>
      <c r="I207" s="163">
        <v>0</v>
      </c>
      <c r="J207" s="163">
        <v>0</v>
      </c>
      <c r="K207" s="163">
        <v>0</v>
      </c>
      <c r="L207" s="163">
        <v>0</v>
      </c>
      <c r="M207" s="163">
        <v>0</v>
      </c>
      <c r="N207" s="163">
        <v>0</v>
      </c>
      <c r="O207" s="163">
        <v>0</v>
      </c>
      <c r="P207" s="163">
        <v>0</v>
      </c>
      <c r="Q207" s="163">
        <v>0</v>
      </c>
      <c r="R207" s="163">
        <v>0</v>
      </c>
      <c r="S207" s="163">
        <v>0</v>
      </c>
      <c r="T207" s="163">
        <v>0</v>
      </c>
      <c r="U207" s="163">
        <v>0</v>
      </c>
      <c r="V207" s="163">
        <v>0</v>
      </c>
      <c r="W207" s="163">
        <v>0</v>
      </c>
      <c r="X207" s="156">
        <f>IFERROR(VLOOKUP(A207,Table7[],2,FALSE),0)</f>
        <v>1712703.9884800001</v>
      </c>
      <c r="Y207" s="163">
        <v>0</v>
      </c>
      <c r="Z207" s="163">
        <v>0</v>
      </c>
      <c r="AA207" s="163">
        <v>0</v>
      </c>
      <c r="AB207" s="163">
        <v>0</v>
      </c>
      <c r="AC207" s="163">
        <v>0</v>
      </c>
      <c r="AD207" s="163">
        <v>0</v>
      </c>
      <c r="AE207" s="163">
        <v>0</v>
      </c>
      <c r="AF207" s="163">
        <v>0</v>
      </c>
      <c r="AG207" s="163">
        <v>0</v>
      </c>
      <c r="AH207" s="163">
        <v>0</v>
      </c>
      <c r="AI207" s="164">
        <v>0</v>
      </c>
      <c r="AJ207" s="141">
        <f t="shared" ref="AJ207" si="198">SUMIF(C208:AI208,"Yes",C207:AI207)</f>
        <v>0</v>
      </c>
      <c r="AK207" s="142">
        <f>AJ207+B207</f>
        <v>549046.63660854567</v>
      </c>
    </row>
    <row r="208" spans="1:37" ht="19.5" customHeight="1" x14ac:dyDescent="0.4">
      <c r="A208" s="158"/>
      <c r="B208" s="159"/>
      <c r="C208" s="135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  <c r="O208" s="136"/>
      <c r="P208" s="136"/>
      <c r="Q208" s="136"/>
      <c r="R208" s="136"/>
      <c r="S208" s="136"/>
      <c r="T208" s="136"/>
      <c r="U208" s="136"/>
      <c r="V208" s="136"/>
      <c r="W208" s="136"/>
      <c r="X208" s="136"/>
      <c r="Y208" s="136"/>
      <c r="Z208" s="136"/>
      <c r="AA208" s="136"/>
      <c r="AB208" s="136"/>
      <c r="AC208" s="136"/>
      <c r="AD208" s="136"/>
      <c r="AE208" s="136"/>
      <c r="AF208" s="136"/>
      <c r="AG208" s="136"/>
      <c r="AH208" s="136"/>
      <c r="AI208" s="137"/>
      <c r="AJ208" s="144" t="str">
        <f t="shared" ref="AJ208" si="199">IF(COUNTIF(C208:AI208,"Yes")&lt;1,"",CONCATENATE("Count of 'Yes' : ",COUNTIF(C208:AI208,"Yes")))</f>
        <v/>
      </c>
      <c r="AK208" s="143"/>
    </row>
    <row r="209" spans="1:37" x14ac:dyDescent="0.4">
      <c r="A209" s="160" t="s">
        <v>110</v>
      </c>
      <c r="B209" s="161">
        <f>'Step1 - Def and Mod Analysis'!U111</f>
        <v>843830.65027357824</v>
      </c>
      <c r="C209" s="162">
        <v>0</v>
      </c>
      <c r="D209" s="163">
        <v>0</v>
      </c>
      <c r="E209" s="163">
        <v>0</v>
      </c>
      <c r="F209" s="163">
        <v>0</v>
      </c>
      <c r="G209" s="163">
        <v>0</v>
      </c>
      <c r="H209" s="163">
        <v>0</v>
      </c>
      <c r="I209" s="163">
        <v>0</v>
      </c>
      <c r="J209" s="163">
        <v>0</v>
      </c>
      <c r="K209" s="163">
        <v>0</v>
      </c>
      <c r="L209" s="163">
        <v>0</v>
      </c>
      <c r="M209" s="163">
        <v>0</v>
      </c>
      <c r="N209" s="163">
        <v>0</v>
      </c>
      <c r="O209" s="163">
        <v>0</v>
      </c>
      <c r="P209" s="163">
        <v>0</v>
      </c>
      <c r="Q209" s="163">
        <v>0</v>
      </c>
      <c r="R209" s="163">
        <v>0</v>
      </c>
      <c r="S209" s="163">
        <v>0</v>
      </c>
      <c r="T209" s="163">
        <v>0</v>
      </c>
      <c r="U209" s="163">
        <v>0</v>
      </c>
      <c r="V209" s="163">
        <v>0</v>
      </c>
      <c r="W209" s="163">
        <v>0</v>
      </c>
      <c r="X209" s="156">
        <f>IFERROR(VLOOKUP(A209,Table7[],2,FALSE),0)</f>
        <v>565998.08635999996</v>
      </c>
      <c r="Y209" s="163">
        <v>0</v>
      </c>
      <c r="Z209" s="163">
        <v>0</v>
      </c>
      <c r="AA209" s="163">
        <v>0</v>
      </c>
      <c r="AB209" s="163">
        <v>0</v>
      </c>
      <c r="AC209" s="163">
        <v>0</v>
      </c>
      <c r="AD209" s="163">
        <v>0</v>
      </c>
      <c r="AE209" s="163">
        <v>0</v>
      </c>
      <c r="AF209" s="163">
        <v>0</v>
      </c>
      <c r="AG209" s="163">
        <v>0</v>
      </c>
      <c r="AH209" s="163">
        <v>0</v>
      </c>
      <c r="AI209" s="164">
        <v>0</v>
      </c>
      <c r="AJ209" s="141">
        <f t="shared" ref="AJ209" si="200">SUMIF(C210:AI210,"Yes",C209:AI209)</f>
        <v>0</v>
      </c>
      <c r="AK209" s="142">
        <f>AJ209+B209</f>
        <v>843830.65027357824</v>
      </c>
    </row>
    <row r="210" spans="1:37" ht="19.5" customHeight="1" x14ac:dyDescent="0.4">
      <c r="A210" s="158"/>
      <c r="B210" s="159"/>
      <c r="C210" s="135"/>
      <c r="D210" s="136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  <c r="O210" s="136"/>
      <c r="P210" s="136"/>
      <c r="Q210" s="136"/>
      <c r="R210" s="136"/>
      <c r="S210" s="136"/>
      <c r="T210" s="136"/>
      <c r="U210" s="136"/>
      <c r="V210" s="136"/>
      <c r="W210" s="136"/>
      <c r="X210" s="136"/>
      <c r="Y210" s="136"/>
      <c r="Z210" s="136"/>
      <c r="AA210" s="136"/>
      <c r="AB210" s="136"/>
      <c r="AC210" s="136"/>
      <c r="AD210" s="136"/>
      <c r="AE210" s="136"/>
      <c r="AF210" s="136"/>
      <c r="AG210" s="136"/>
      <c r="AH210" s="136"/>
      <c r="AI210" s="137"/>
      <c r="AJ210" s="144" t="str">
        <f t="shared" ref="AJ210" si="201">IF(COUNTIF(C210:AI210,"Yes")&lt;1,"",CONCATENATE("Count of 'Yes' : ",COUNTIF(C210:AI210,"Yes")))</f>
        <v/>
      </c>
      <c r="AK210" s="143"/>
    </row>
    <row r="211" spans="1:37" x14ac:dyDescent="0.4">
      <c r="A211" s="160" t="s">
        <v>111</v>
      </c>
      <c r="B211" s="161">
        <f>'Step1 - Def and Mod Analysis'!U112</f>
        <v>280492000</v>
      </c>
      <c r="C211" s="162">
        <v>0</v>
      </c>
      <c r="D211" s="163">
        <v>0</v>
      </c>
      <c r="E211" s="163">
        <v>7840000</v>
      </c>
      <c r="F211" s="163">
        <v>0</v>
      </c>
      <c r="G211" s="163">
        <v>0</v>
      </c>
      <c r="H211" s="163">
        <v>0</v>
      </c>
      <c r="I211" s="163">
        <v>0</v>
      </c>
      <c r="J211" s="163">
        <v>11319000</v>
      </c>
      <c r="K211" s="163">
        <v>3684800</v>
      </c>
      <c r="L211" s="163">
        <v>0</v>
      </c>
      <c r="M211" s="163">
        <v>0</v>
      </c>
      <c r="N211" s="163">
        <v>0</v>
      </c>
      <c r="O211" s="163">
        <v>13495335</v>
      </c>
      <c r="P211" s="163">
        <v>0</v>
      </c>
      <c r="Q211" s="163">
        <v>0</v>
      </c>
      <c r="R211" s="163">
        <v>0</v>
      </c>
      <c r="S211" s="163">
        <v>280492567</v>
      </c>
      <c r="T211" s="163">
        <v>0</v>
      </c>
      <c r="U211" s="163">
        <v>0</v>
      </c>
      <c r="V211" s="163">
        <v>0</v>
      </c>
      <c r="W211" s="163">
        <v>0</v>
      </c>
      <c r="X211" s="156">
        <f>IFERROR(VLOOKUP(A211,Table7[],2,FALSE),0)</f>
        <v>0</v>
      </c>
      <c r="Y211" s="163">
        <v>0</v>
      </c>
      <c r="Z211" s="163">
        <v>0</v>
      </c>
      <c r="AA211" s="163">
        <v>0</v>
      </c>
      <c r="AB211" s="163">
        <v>0</v>
      </c>
      <c r="AC211" s="163">
        <v>390040</v>
      </c>
      <c r="AD211" s="163">
        <v>0</v>
      </c>
      <c r="AE211" s="163">
        <v>205800</v>
      </c>
      <c r="AF211" s="163">
        <v>47040</v>
      </c>
      <c r="AG211" s="163">
        <v>0</v>
      </c>
      <c r="AH211" s="163">
        <v>1769880</v>
      </c>
      <c r="AI211" s="164">
        <v>0</v>
      </c>
      <c r="AJ211" s="141">
        <f t="shared" ref="AJ211" si="202">SUMIF(C212:AI212,"Yes",C211:AI211)</f>
        <v>0</v>
      </c>
      <c r="AK211" s="142">
        <f>AJ211+B211</f>
        <v>280492000</v>
      </c>
    </row>
    <row r="212" spans="1:37" ht="19.5" customHeight="1" x14ac:dyDescent="0.4">
      <c r="A212" s="158"/>
      <c r="B212" s="159"/>
      <c r="C212" s="135"/>
      <c r="D212" s="136"/>
      <c r="E212" s="136"/>
      <c r="F212" s="136"/>
      <c r="G212" s="136"/>
      <c r="H212" s="136"/>
      <c r="I212" s="136"/>
      <c r="J212" s="136"/>
      <c r="K212" s="136"/>
      <c r="L212" s="136"/>
      <c r="M212" s="136"/>
      <c r="N212" s="136"/>
      <c r="O212" s="136"/>
      <c r="P212" s="136"/>
      <c r="Q212" s="136"/>
      <c r="R212" s="136"/>
      <c r="S212" s="136"/>
      <c r="T212" s="136"/>
      <c r="U212" s="136"/>
      <c r="V212" s="136"/>
      <c r="W212" s="136"/>
      <c r="X212" s="136"/>
      <c r="Y212" s="136"/>
      <c r="Z212" s="136"/>
      <c r="AA212" s="136"/>
      <c r="AB212" s="136"/>
      <c r="AC212" s="136"/>
      <c r="AD212" s="136"/>
      <c r="AE212" s="136"/>
      <c r="AF212" s="136"/>
      <c r="AG212" s="136"/>
      <c r="AH212" s="136"/>
      <c r="AI212" s="137"/>
      <c r="AJ212" s="144" t="str">
        <f t="shared" ref="AJ212" si="203">IF(COUNTIF(C212:AI212,"Yes")&lt;1,"",CONCATENATE("Count of 'Yes' : ",COUNTIF(C212:AI212,"Yes")))</f>
        <v/>
      </c>
      <c r="AK212" s="143"/>
    </row>
    <row r="213" spans="1:37" x14ac:dyDescent="0.4">
      <c r="A213" s="160" t="s">
        <v>112</v>
      </c>
      <c r="B213" s="161">
        <f>'Step1 - Def and Mod Analysis'!U113</f>
        <v>3109785.1532465247</v>
      </c>
      <c r="C213" s="162">
        <v>0</v>
      </c>
      <c r="D213" s="163">
        <v>0</v>
      </c>
      <c r="E213" s="163">
        <v>0</v>
      </c>
      <c r="F213" s="163">
        <v>0</v>
      </c>
      <c r="G213" s="163">
        <v>137200</v>
      </c>
      <c r="H213" s="163">
        <v>0</v>
      </c>
      <c r="I213" s="163">
        <v>1097600</v>
      </c>
      <c r="J213" s="163">
        <v>0</v>
      </c>
      <c r="K213" s="163">
        <v>0</v>
      </c>
      <c r="L213" s="163">
        <v>0</v>
      </c>
      <c r="M213" s="163">
        <v>0</v>
      </c>
      <c r="N213" s="163">
        <v>0</v>
      </c>
      <c r="O213" s="163">
        <v>0</v>
      </c>
      <c r="P213" s="163">
        <v>0</v>
      </c>
      <c r="Q213" s="163">
        <v>0</v>
      </c>
      <c r="R213" s="163">
        <v>0</v>
      </c>
      <c r="S213" s="163">
        <v>0</v>
      </c>
      <c r="T213" s="163">
        <v>0</v>
      </c>
      <c r="U213" s="163">
        <v>0</v>
      </c>
      <c r="V213" s="163">
        <v>0</v>
      </c>
      <c r="W213" s="163">
        <v>0</v>
      </c>
      <c r="X213" s="156">
        <f>IFERROR(VLOOKUP(A213,Table7[],2,FALSE),0)</f>
        <v>2810031.5376000004</v>
      </c>
      <c r="Y213" s="163">
        <v>0</v>
      </c>
      <c r="Z213" s="163">
        <v>0</v>
      </c>
      <c r="AA213" s="163">
        <v>0</v>
      </c>
      <c r="AB213" s="163">
        <v>0</v>
      </c>
      <c r="AC213" s="163">
        <v>0</v>
      </c>
      <c r="AD213" s="163">
        <v>0</v>
      </c>
      <c r="AE213" s="163">
        <v>205800</v>
      </c>
      <c r="AF213" s="163">
        <v>15680</v>
      </c>
      <c r="AG213" s="163">
        <v>0</v>
      </c>
      <c r="AH213" s="163">
        <v>0</v>
      </c>
      <c r="AI213" s="164">
        <v>519400</v>
      </c>
      <c r="AJ213" s="141">
        <f t="shared" ref="AJ213" si="204">SUMIF(C214:AI214,"Yes",C213:AI213)</f>
        <v>0</v>
      </c>
      <c r="AK213" s="142">
        <f>AJ213+B213</f>
        <v>3109785.1532465247</v>
      </c>
    </row>
    <row r="214" spans="1:37" ht="19.5" customHeight="1" x14ac:dyDescent="0.4">
      <c r="A214" s="158"/>
      <c r="B214" s="159"/>
      <c r="C214" s="135"/>
      <c r="D214" s="136"/>
      <c r="E214" s="136"/>
      <c r="F214" s="136"/>
      <c r="G214" s="136"/>
      <c r="H214" s="136"/>
      <c r="I214" s="136"/>
      <c r="J214" s="136"/>
      <c r="K214" s="136"/>
      <c r="L214" s="136"/>
      <c r="M214" s="136"/>
      <c r="N214" s="136"/>
      <c r="O214" s="136"/>
      <c r="P214" s="136"/>
      <c r="Q214" s="136"/>
      <c r="R214" s="136"/>
      <c r="S214" s="136"/>
      <c r="T214" s="136"/>
      <c r="U214" s="136"/>
      <c r="V214" s="136"/>
      <c r="W214" s="136"/>
      <c r="X214" s="136"/>
      <c r="Y214" s="136"/>
      <c r="Z214" s="136"/>
      <c r="AA214" s="136"/>
      <c r="AB214" s="136"/>
      <c r="AC214" s="136"/>
      <c r="AD214" s="136"/>
      <c r="AE214" s="136"/>
      <c r="AF214" s="136"/>
      <c r="AG214" s="136"/>
      <c r="AH214" s="136"/>
      <c r="AI214" s="137"/>
      <c r="AJ214" s="144" t="str">
        <f t="shared" ref="AJ214" si="205">IF(COUNTIF(C214:AI214,"Yes")&lt;1,"",CONCATENATE("Count of 'Yes' : ",COUNTIF(C214:AI214,"Yes")))</f>
        <v/>
      </c>
      <c r="AK214" s="143"/>
    </row>
    <row r="215" spans="1:37" x14ac:dyDescent="0.4">
      <c r="A215" s="160" t="s">
        <v>1</v>
      </c>
      <c r="B215" s="161">
        <f>'Step1 - Def and Mod Analysis'!U114</f>
        <v>559795.19999999995</v>
      </c>
      <c r="C215" s="162">
        <v>0</v>
      </c>
      <c r="D215" s="163">
        <v>0</v>
      </c>
      <c r="E215" s="163">
        <v>0</v>
      </c>
      <c r="F215" s="163">
        <v>0</v>
      </c>
      <c r="G215" s="163">
        <v>137200</v>
      </c>
      <c r="H215" s="163">
        <v>0</v>
      </c>
      <c r="I215" s="163">
        <v>0</v>
      </c>
      <c r="J215" s="163">
        <v>0</v>
      </c>
      <c r="K215" s="163">
        <v>0</v>
      </c>
      <c r="L215" s="163">
        <v>0</v>
      </c>
      <c r="M215" s="163">
        <v>0</v>
      </c>
      <c r="N215" s="163">
        <v>0</v>
      </c>
      <c r="O215" s="163">
        <v>0</v>
      </c>
      <c r="P215" s="163">
        <v>0</v>
      </c>
      <c r="Q215" s="163">
        <v>0</v>
      </c>
      <c r="R215" s="163">
        <v>0</v>
      </c>
      <c r="S215" s="163">
        <v>0</v>
      </c>
      <c r="T215" s="163">
        <v>0</v>
      </c>
      <c r="U215" s="163">
        <v>0</v>
      </c>
      <c r="V215" s="163">
        <v>0</v>
      </c>
      <c r="W215" s="163">
        <v>0</v>
      </c>
      <c r="X215" s="156">
        <f>IFERROR(VLOOKUP(A215,Table7[],2,FALSE),0)</f>
        <v>0</v>
      </c>
      <c r="Y215" s="163">
        <v>0</v>
      </c>
      <c r="Z215" s="163">
        <v>0</v>
      </c>
      <c r="AA215" s="163">
        <v>0</v>
      </c>
      <c r="AB215" s="163">
        <v>0</v>
      </c>
      <c r="AC215" s="163">
        <v>0</v>
      </c>
      <c r="AD215" s="163">
        <v>0</v>
      </c>
      <c r="AE215" s="163">
        <v>205800</v>
      </c>
      <c r="AF215" s="163">
        <v>0</v>
      </c>
      <c r="AG215" s="163">
        <v>0</v>
      </c>
      <c r="AH215" s="163">
        <v>0</v>
      </c>
      <c r="AI215" s="164">
        <v>0</v>
      </c>
      <c r="AJ215" s="141">
        <f t="shared" ref="AJ215" si="206">SUMIF(C216:AI216,"Yes",C215:AI215)</f>
        <v>0</v>
      </c>
      <c r="AK215" s="142">
        <f>AJ215+B215</f>
        <v>559795.19999999995</v>
      </c>
    </row>
    <row r="216" spans="1:37" ht="19.5" customHeight="1" x14ac:dyDescent="0.4">
      <c r="A216" s="158"/>
      <c r="B216" s="159"/>
      <c r="C216" s="135"/>
      <c r="D216" s="136"/>
      <c r="E216" s="136"/>
      <c r="F216" s="136"/>
      <c r="G216" s="136"/>
      <c r="H216" s="136"/>
      <c r="I216" s="136"/>
      <c r="J216" s="136"/>
      <c r="K216" s="136"/>
      <c r="L216" s="136"/>
      <c r="M216" s="136"/>
      <c r="N216" s="136"/>
      <c r="O216" s="136"/>
      <c r="P216" s="136"/>
      <c r="Q216" s="136"/>
      <c r="R216" s="136"/>
      <c r="S216" s="136"/>
      <c r="T216" s="136"/>
      <c r="U216" s="136"/>
      <c r="V216" s="136"/>
      <c r="W216" s="136"/>
      <c r="X216" s="136"/>
      <c r="Y216" s="136"/>
      <c r="Z216" s="136"/>
      <c r="AA216" s="136"/>
      <c r="AB216" s="136"/>
      <c r="AC216" s="136"/>
      <c r="AD216" s="136"/>
      <c r="AE216" s="136"/>
      <c r="AF216" s="136"/>
      <c r="AG216" s="136"/>
      <c r="AH216" s="136"/>
      <c r="AI216" s="137"/>
      <c r="AJ216" s="144" t="str">
        <f t="shared" ref="AJ216" si="207">IF(COUNTIF(C216:AI216,"Yes")&lt;1,"",CONCATENATE("Count of 'Yes' : ",COUNTIF(C216:AI216,"Yes")))</f>
        <v/>
      </c>
      <c r="AK216" s="143"/>
    </row>
    <row r="217" spans="1:37" x14ac:dyDescent="0.4">
      <c r="A217" s="160" t="s">
        <v>113</v>
      </c>
      <c r="B217" s="161">
        <f>'Step1 - Def and Mod Analysis'!U115</f>
        <v>4349100.6917841425</v>
      </c>
      <c r="C217" s="162">
        <v>0</v>
      </c>
      <c r="D217" s="163">
        <v>0</v>
      </c>
      <c r="E217" s="163">
        <v>0</v>
      </c>
      <c r="F217" s="163">
        <v>0</v>
      </c>
      <c r="G217" s="163">
        <v>137200</v>
      </c>
      <c r="H217" s="163">
        <v>0</v>
      </c>
      <c r="I217" s="163">
        <v>0</v>
      </c>
      <c r="J217" s="163">
        <v>0</v>
      </c>
      <c r="K217" s="163">
        <v>0</v>
      </c>
      <c r="L217" s="163">
        <v>0</v>
      </c>
      <c r="M217" s="163">
        <v>0</v>
      </c>
      <c r="N217" s="163">
        <v>0</v>
      </c>
      <c r="O217" s="163">
        <v>0</v>
      </c>
      <c r="P217" s="163">
        <v>0</v>
      </c>
      <c r="Q217" s="163">
        <v>0</v>
      </c>
      <c r="R217" s="163">
        <v>0</v>
      </c>
      <c r="S217" s="163">
        <v>0</v>
      </c>
      <c r="T217" s="163">
        <v>0</v>
      </c>
      <c r="U217" s="163">
        <v>0</v>
      </c>
      <c r="V217" s="163">
        <v>0</v>
      </c>
      <c r="W217" s="163">
        <v>0</v>
      </c>
      <c r="X217" s="156">
        <f>IFERROR(VLOOKUP(A217,Table7[],2,FALSE),0)</f>
        <v>208997.37983999998</v>
      </c>
      <c r="Y217" s="163">
        <v>0</v>
      </c>
      <c r="Z217" s="163">
        <v>0</v>
      </c>
      <c r="AA217" s="163">
        <v>0</v>
      </c>
      <c r="AB217" s="163">
        <v>312032</v>
      </c>
      <c r="AC217" s="163">
        <v>0</v>
      </c>
      <c r="AD217" s="163">
        <v>2744784</v>
      </c>
      <c r="AE217" s="163">
        <v>205800</v>
      </c>
      <c r="AF217" s="163">
        <v>62720</v>
      </c>
      <c r="AG217" s="163">
        <v>0</v>
      </c>
      <c r="AH217" s="163">
        <v>0</v>
      </c>
      <c r="AI217" s="164">
        <v>519400</v>
      </c>
      <c r="AJ217" s="141">
        <f t="shared" ref="AJ217" si="208">SUMIF(C218:AI218,"Yes",C217:AI217)</f>
        <v>0</v>
      </c>
      <c r="AK217" s="142">
        <f>AJ217+B217</f>
        <v>4349100.6917841425</v>
      </c>
    </row>
    <row r="218" spans="1:37" ht="19.5" customHeight="1" x14ac:dyDescent="0.4">
      <c r="A218" s="158"/>
      <c r="B218" s="159"/>
      <c r="C218" s="135"/>
      <c r="D218" s="136"/>
      <c r="E218" s="136"/>
      <c r="F218" s="136"/>
      <c r="G218" s="136"/>
      <c r="H218" s="136"/>
      <c r="I218" s="136"/>
      <c r="J218" s="136"/>
      <c r="K218" s="136"/>
      <c r="L218" s="136"/>
      <c r="M218" s="136"/>
      <c r="N218" s="136"/>
      <c r="O218" s="136"/>
      <c r="P218" s="136"/>
      <c r="Q218" s="136"/>
      <c r="R218" s="136"/>
      <c r="S218" s="136"/>
      <c r="T218" s="136"/>
      <c r="U218" s="136"/>
      <c r="V218" s="136"/>
      <c r="W218" s="136"/>
      <c r="X218" s="136"/>
      <c r="Y218" s="136"/>
      <c r="Z218" s="136"/>
      <c r="AA218" s="136"/>
      <c r="AB218" s="136"/>
      <c r="AC218" s="136"/>
      <c r="AD218" s="136"/>
      <c r="AE218" s="136"/>
      <c r="AF218" s="136"/>
      <c r="AG218" s="136"/>
      <c r="AH218" s="136"/>
      <c r="AI218" s="137"/>
      <c r="AJ218" s="144" t="str">
        <f t="shared" ref="AJ218" si="209">IF(COUNTIF(C218:AI218,"Yes")&lt;1,"",CONCATENATE("Count of 'Yes' : ",COUNTIF(C218:AI218,"Yes")))</f>
        <v/>
      </c>
      <c r="AK218" s="143"/>
    </row>
    <row r="219" spans="1:37" x14ac:dyDescent="0.4">
      <c r="A219" s="160" t="s">
        <v>114</v>
      </c>
      <c r="B219" s="161">
        <f>'Step1 - Def and Mod Analysis'!U116</f>
        <v>0</v>
      </c>
      <c r="C219" s="162">
        <v>6860000</v>
      </c>
      <c r="D219" s="163">
        <v>0</v>
      </c>
      <c r="E219" s="163">
        <v>0</v>
      </c>
      <c r="F219" s="163">
        <v>123480</v>
      </c>
      <c r="G219" s="163">
        <v>137200</v>
      </c>
      <c r="H219" s="163">
        <v>0</v>
      </c>
      <c r="I219" s="163">
        <v>0</v>
      </c>
      <c r="J219" s="163">
        <v>2254000</v>
      </c>
      <c r="K219" s="163">
        <v>0</v>
      </c>
      <c r="L219" s="163">
        <v>0</v>
      </c>
      <c r="M219" s="163">
        <v>0</v>
      </c>
      <c r="N219" s="163">
        <v>0</v>
      </c>
      <c r="O219" s="163">
        <v>16430680</v>
      </c>
      <c r="P219" s="163">
        <v>0</v>
      </c>
      <c r="Q219" s="163">
        <v>0</v>
      </c>
      <c r="R219" s="163">
        <v>0</v>
      </c>
      <c r="S219" s="163">
        <v>0</v>
      </c>
      <c r="T219" s="163">
        <v>105381163</v>
      </c>
      <c r="U219" s="163">
        <v>0</v>
      </c>
      <c r="V219" s="163">
        <v>0</v>
      </c>
      <c r="W219" s="163">
        <v>0</v>
      </c>
      <c r="X219" s="156">
        <f>IFERROR(VLOOKUP(A219,Table7[],2,FALSE),0)</f>
        <v>431892.29639999999</v>
      </c>
      <c r="Y219" s="163">
        <v>0</v>
      </c>
      <c r="Z219" s="163">
        <v>0</v>
      </c>
      <c r="AA219" s="163">
        <v>0</v>
      </c>
      <c r="AB219" s="163">
        <v>0</v>
      </c>
      <c r="AC219" s="163">
        <v>390040</v>
      </c>
      <c r="AD219" s="163">
        <v>3161088</v>
      </c>
      <c r="AE219" s="163">
        <v>205800</v>
      </c>
      <c r="AF219" s="163">
        <v>0</v>
      </c>
      <c r="AG219" s="163">
        <v>0</v>
      </c>
      <c r="AH219" s="163">
        <v>3675588</v>
      </c>
      <c r="AI219" s="164">
        <v>4111884</v>
      </c>
      <c r="AJ219" s="141">
        <f t="shared" ref="AJ219" si="210">SUMIF(C220:AI220,"Yes",C219:AI219)</f>
        <v>0</v>
      </c>
      <c r="AK219" s="142">
        <f>AJ219+B219</f>
        <v>0</v>
      </c>
    </row>
    <row r="220" spans="1:37" ht="19.5" customHeight="1" x14ac:dyDescent="0.4">
      <c r="A220" s="158"/>
      <c r="B220" s="159"/>
      <c r="C220" s="135"/>
      <c r="D220" s="136"/>
      <c r="E220" s="136"/>
      <c r="F220" s="136"/>
      <c r="G220" s="136"/>
      <c r="H220" s="136"/>
      <c r="I220" s="136"/>
      <c r="J220" s="136"/>
      <c r="K220" s="136"/>
      <c r="L220" s="136"/>
      <c r="M220" s="136"/>
      <c r="N220" s="136"/>
      <c r="O220" s="136"/>
      <c r="P220" s="136"/>
      <c r="Q220" s="136"/>
      <c r="R220" s="136"/>
      <c r="S220" s="136"/>
      <c r="T220" s="136"/>
      <c r="U220" s="136"/>
      <c r="V220" s="136"/>
      <c r="W220" s="136"/>
      <c r="X220" s="136"/>
      <c r="Y220" s="136"/>
      <c r="Z220" s="136"/>
      <c r="AA220" s="136"/>
      <c r="AB220" s="136"/>
      <c r="AC220" s="136"/>
      <c r="AD220" s="136"/>
      <c r="AE220" s="136"/>
      <c r="AF220" s="136"/>
      <c r="AG220" s="136"/>
      <c r="AH220" s="136"/>
      <c r="AI220" s="137"/>
      <c r="AJ220" s="144" t="str">
        <f t="shared" ref="AJ220" si="211">IF(COUNTIF(C220:AI220,"Yes")&lt;1,"",CONCATENATE("Count of 'Yes' : ",COUNTIF(C220:AI220,"Yes")))</f>
        <v/>
      </c>
      <c r="AK220" s="143"/>
    </row>
    <row r="221" spans="1:37" x14ac:dyDescent="0.4">
      <c r="A221" s="160" t="s">
        <v>115</v>
      </c>
      <c r="B221" s="161">
        <f>'Step1 - Def and Mod Analysis'!U117</f>
        <v>4993079.9869797388</v>
      </c>
      <c r="C221" s="162">
        <v>0</v>
      </c>
      <c r="D221" s="163">
        <v>0</v>
      </c>
      <c r="E221" s="163">
        <v>0</v>
      </c>
      <c r="F221" s="163">
        <v>0</v>
      </c>
      <c r="G221" s="163">
        <v>137200</v>
      </c>
      <c r="H221" s="163">
        <v>0</v>
      </c>
      <c r="I221" s="163">
        <v>0</v>
      </c>
      <c r="J221" s="163">
        <v>0</v>
      </c>
      <c r="K221" s="163">
        <v>0</v>
      </c>
      <c r="L221" s="163">
        <v>0</v>
      </c>
      <c r="M221" s="163">
        <v>0</v>
      </c>
      <c r="N221" s="163">
        <v>0</v>
      </c>
      <c r="O221" s="163">
        <v>0</v>
      </c>
      <c r="P221" s="163">
        <v>0</v>
      </c>
      <c r="Q221" s="163">
        <v>0</v>
      </c>
      <c r="R221" s="163">
        <v>0</v>
      </c>
      <c r="S221" s="163">
        <v>0</v>
      </c>
      <c r="T221" s="163">
        <v>0</v>
      </c>
      <c r="U221" s="163">
        <v>0</v>
      </c>
      <c r="V221" s="163">
        <v>0</v>
      </c>
      <c r="W221" s="163">
        <v>0</v>
      </c>
      <c r="X221" s="156">
        <f>IFERROR(VLOOKUP(A221,Table7[],2,FALSE),0)</f>
        <v>341229.82732799998</v>
      </c>
      <c r="Y221" s="163">
        <v>0</v>
      </c>
      <c r="Z221" s="163">
        <v>0</v>
      </c>
      <c r="AA221" s="163">
        <v>0</v>
      </c>
      <c r="AB221" s="163">
        <v>0</v>
      </c>
      <c r="AC221" s="163">
        <v>0</v>
      </c>
      <c r="AD221" s="163">
        <v>1531152</v>
      </c>
      <c r="AE221" s="163">
        <v>205800</v>
      </c>
      <c r="AF221" s="163">
        <v>0</v>
      </c>
      <c r="AG221" s="163">
        <v>4226348</v>
      </c>
      <c r="AH221" s="163">
        <v>0</v>
      </c>
      <c r="AI221" s="164">
        <v>519400</v>
      </c>
      <c r="AJ221" s="141">
        <f t="shared" ref="AJ221" si="212">SUMIF(C222:AI222,"Yes",C221:AI221)</f>
        <v>0</v>
      </c>
      <c r="AK221" s="142">
        <f>AJ221+B221</f>
        <v>4993079.9869797388</v>
      </c>
    </row>
    <row r="222" spans="1:37" ht="19.5" customHeight="1" x14ac:dyDescent="0.4">
      <c r="A222" s="158"/>
      <c r="B222" s="159"/>
      <c r="C222" s="135"/>
      <c r="D222" s="136"/>
      <c r="E222" s="136"/>
      <c r="F222" s="136"/>
      <c r="G222" s="136"/>
      <c r="H222" s="136"/>
      <c r="I222" s="136"/>
      <c r="J222" s="136"/>
      <c r="K222" s="136"/>
      <c r="L222" s="136"/>
      <c r="M222" s="136"/>
      <c r="N222" s="136"/>
      <c r="O222" s="136"/>
      <c r="P222" s="136"/>
      <c r="Q222" s="136"/>
      <c r="R222" s="136"/>
      <c r="S222" s="136"/>
      <c r="T222" s="136"/>
      <c r="U222" s="136"/>
      <c r="V222" s="136"/>
      <c r="W222" s="136"/>
      <c r="X222" s="136"/>
      <c r="Y222" s="136"/>
      <c r="Z222" s="136"/>
      <c r="AA222" s="136"/>
      <c r="AB222" s="136"/>
      <c r="AC222" s="136"/>
      <c r="AD222" s="136"/>
      <c r="AE222" s="136"/>
      <c r="AF222" s="136"/>
      <c r="AG222" s="136"/>
      <c r="AH222" s="136"/>
      <c r="AI222" s="137"/>
      <c r="AJ222" s="144" t="str">
        <f t="shared" ref="AJ222" si="213">IF(COUNTIF(C222:AI222,"Yes")&lt;1,"",CONCATENATE("Count of 'Yes' : ",COUNTIF(C222:AI222,"Yes")))</f>
        <v/>
      </c>
      <c r="AK222" s="143"/>
    </row>
    <row r="223" spans="1:37" x14ac:dyDescent="0.4">
      <c r="A223" s="160" t="s">
        <v>116</v>
      </c>
      <c r="B223" s="161">
        <f>'Step1 - Def and Mod Analysis'!U118</f>
        <v>4789307.0875998195</v>
      </c>
      <c r="C223" s="162">
        <v>0</v>
      </c>
      <c r="D223" s="163">
        <v>0</v>
      </c>
      <c r="E223" s="163">
        <v>0</v>
      </c>
      <c r="F223" s="163">
        <v>0</v>
      </c>
      <c r="G223" s="163">
        <v>0</v>
      </c>
      <c r="H223" s="163">
        <v>0</v>
      </c>
      <c r="I223" s="163">
        <v>0</v>
      </c>
      <c r="J223" s="163">
        <v>0</v>
      </c>
      <c r="K223" s="163">
        <v>0</v>
      </c>
      <c r="L223" s="163">
        <v>0</v>
      </c>
      <c r="M223" s="163">
        <v>0</v>
      </c>
      <c r="N223" s="163">
        <v>0</v>
      </c>
      <c r="O223" s="163">
        <v>0</v>
      </c>
      <c r="P223" s="163">
        <v>0</v>
      </c>
      <c r="Q223" s="163">
        <v>0</v>
      </c>
      <c r="R223" s="163">
        <v>60020368</v>
      </c>
      <c r="S223" s="163">
        <v>0</v>
      </c>
      <c r="T223" s="163">
        <v>0</v>
      </c>
      <c r="U223" s="163">
        <v>0</v>
      </c>
      <c r="V223" s="163">
        <v>0</v>
      </c>
      <c r="W223" s="163">
        <v>0</v>
      </c>
      <c r="X223" s="156">
        <f>IFERROR(VLOOKUP(A223,Table7[],2,FALSE),0)</f>
        <v>748068.81926399993</v>
      </c>
      <c r="Y223" s="163">
        <v>0</v>
      </c>
      <c r="Z223" s="163">
        <v>0</v>
      </c>
      <c r="AA223" s="163">
        <v>0</v>
      </c>
      <c r="AB223" s="163">
        <v>0</v>
      </c>
      <c r="AC223" s="163">
        <v>0</v>
      </c>
      <c r="AD223" s="163">
        <v>0</v>
      </c>
      <c r="AE223" s="163">
        <v>0</v>
      </c>
      <c r="AF223" s="163">
        <v>0</v>
      </c>
      <c r="AG223" s="163">
        <v>0</v>
      </c>
      <c r="AH223" s="163">
        <v>0</v>
      </c>
      <c r="AI223" s="164">
        <v>1054480</v>
      </c>
      <c r="AJ223" s="141">
        <f t="shared" ref="AJ223" si="214">SUMIF(C224:AI224,"Yes",C223:AI223)</f>
        <v>0</v>
      </c>
      <c r="AK223" s="142">
        <f>AJ223+B223</f>
        <v>4789307.0875998195</v>
      </c>
    </row>
    <row r="224" spans="1:37" ht="19.5" customHeight="1" x14ac:dyDescent="0.4">
      <c r="A224" s="158"/>
      <c r="B224" s="159"/>
      <c r="C224" s="135"/>
      <c r="D224" s="136"/>
      <c r="E224" s="136"/>
      <c r="F224" s="136"/>
      <c r="G224" s="136"/>
      <c r="H224" s="136"/>
      <c r="I224" s="136"/>
      <c r="J224" s="136"/>
      <c r="K224" s="136"/>
      <c r="L224" s="136"/>
      <c r="M224" s="136"/>
      <c r="N224" s="136"/>
      <c r="O224" s="136"/>
      <c r="P224" s="136"/>
      <c r="Q224" s="136"/>
      <c r="R224" s="136"/>
      <c r="S224" s="136"/>
      <c r="T224" s="136"/>
      <c r="U224" s="136"/>
      <c r="V224" s="136"/>
      <c r="W224" s="136"/>
      <c r="X224" s="136"/>
      <c r="Y224" s="136"/>
      <c r="Z224" s="136"/>
      <c r="AA224" s="136"/>
      <c r="AB224" s="136"/>
      <c r="AC224" s="136"/>
      <c r="AD224" s="136"/>
      <c r="AE224" s="136"/>
      <c r="AF224" s="136"/>
      <c r="AG224" s="136"/>
      <c r="AH224" s="136"/>
      <c r="AI224" s="137"/>
      <c r="AJ224" s="144" t="str">
        <f t="shared" ref="AJ224" si="215">IF(COUNTIF(C224:AI224,"Yes")&lt;1,"",CONCATENATE("Count of 'Yes' : ",COUNTIF(C224:AI224,"Yes")))</f>
        <v/>
      </c>
      <c r="AK224" s="143"/>
    </row>
    <row r="225" spans="1:37" x14ac:dyDescent="0.4">
      <c r="A225" s="160" t="s">
        <v>117</v>
      </c>
      <c r="B225" s="161">
        <f>'Step1 - Def and Mod Analysis'!U119</f>
        <v>6461928.7947257152</v>
      </c>
      <c r="C225" s="162">
        <v>0</v>
      </c>
      <c r="D225" s="163">
        <v>0</v>
      </c>
      <c r="E225" s="163">
        <v>0</v>
      </c>
      <c r="F225" s="163">
        <v>0</v>
      </c>
      <c r="G225" s="163">
        <v>137200</v>
      </c>
      <c r="H225" s="163">
        <v>0</v>
      </c>
      <c r="I225" s="163">
        <v>0</v>
      </c>
      <c r="J225" s="163">
        <v>0</v>
      </c>
      <c r="K225" s="163">
        <v>0</v>
      </c>
      <c r="L225" s="163">
        <v>0</v>
      </c>
      <c r="M225" s="163">
        <v>0</v>
      </c>
      <c r="N225" s="163">
        <v>0</v>
      </c>
      <c r="O225" s="163">
        <v>0</v>
      </c>
      <c r="P225" s="163">
        <v>0</v>
      </c>
      <c r="Q225" s="163">
        <v>0</v>
      </c>
      <c r="R225" s="163">
        <v>0</v>
      </c>
      <c r="S225" s="163">
        <v>0</v>
      </c>
      <c r="T225" s="163">
        <v>0</v>
      </c>
      <c r="U225" s="163">
        <v>0</v>
      </c>
      <c r="V225" s="163">
        <v>0</v>
      </c>
      <c r="W225" s="163">
        <v>0</v>
      </c>
      <c r="X225" s="156">
        <f>IFERROR(VLOOKUP(A225,Table7[],2,FALSE),0)</f>
        <v>0</v>
      </c>
      <c r="Y225" s="163">
        <v>0</v>
      </c>
      <c r="Z225" s="163">
        <v>0</v>
      </c>
      <c r="AA225" s="163">
        <v>0</v>
      </c>
      <c r="AB225" s="163">
        <v>18502.400000000001</v>
      </c>
      <c r="AC225" s="163">
        <v>0</v>
      </c>
      <c r="AD225" s="163">
        <v>889056</v>
      </c>
      <c r="AE225" s="163">
        <v>0</v>
      </c>
      <c r="AF225" s="163">
        <v>0</v>
      </c>
      <c r="AG225" s="163">
        <v>0</v>
      </c>
      <c r="AH225" s="163">
        <v>0</v>
      </c>
      <c r="AI225" s="164">
        <v>123480</v>
      </c>
      <c r="AJ225" s="141">
        <f t="shared" ref="AJ225" si="216">SUMIF(C226:AI226,"Yes",C225:AI225)</f>
        <v>0</v>
      </c>
      <c r="AK225" s="142">
        <f>AJ225+B225</f>
        <v>6461928.7947257152</v>
      </c>
    </row>
    <row r="226" spans="1:37" ht="19.5" customHeight="1" x14ac:dyDescent="0.4">
      <c r="A226" s="158"/>
      <c r="B226" s="159"/>
      <c r="C226" s="135"/>
      <c r="D226" s="136"/>
      <c r="E226" s="136"/>
      <c r="F226" s="136"/>
      <c r="G226" s="136"/>
      <c r="H226" s="136"/>
      <c r="I226" s="136"/>
      <c r="J226" s="136"/>
      <c r="K226" s="136"/>
      <c r="L226" s="136"/>
      <c r="M226" s="136"/>
      <c r="N226" s="136"/>
      <c r="O226" s="136"/>
      <c r="P226" s="136"/>
      <c r="Q226" s="136"/>
      <c r="R226" s="136"/>
      <c r="S226" s="136"/>
      <c r="T226" s="136"/>
      <c r="U226" s="136"/>
      <c r="V226" s="136"/>
      <c r="W226" s="136"/>
      <c r="X226" s="136"/>
      <c r="Y226" s="136"/>
      <c r="Z226" s="136"/>
      <c r="AA226" s="136"/>
      <c r="AB226" s="136"/>
      <c r="AC226" s="136"/>
      <c r="AD226" s="136"/>
      <c r="AE226" s="136"/>
      <c r="AF226" s="136"/>
      <c r="AG226" s="136"/>
      <c r="AH226" s="136"/>
      <c r="AI226" s="137"/>
      <c r="AJ226" s="144" t="str">
        <f t="shared" ref="AJ226" si="217">IF(COUNTIF(C226:AI226,"Yes")&lt;1,"",CONCATENATE("Count of 'Yes' : ",COUNTIF(C226:AI226,"Yes")))</f>
        <v/>
      </c>
      <c r="AK226" s="143"/>
    </row>
    <row r="227" spans="1:37" x14ac:dyDescent="0.4">
      <c r="A227" s="160" t="s">
        <v>118</v>
      </c>
      <c r="B227" s="161">
        <f>'Step1 - Def and Mod Analysis'!U120</f>
        <v>38790000</v>
      </c>
      <c r="C227" s="162">
        <v>3920000</v>
      </c>
      <c r="D227" s="163">
        <v>0</v>
      </c>
      <c r="E227" s="163">
        <v>0</v>
      </c>
      <c r="F227" s="163">
        <v>123480</v>
      </c>
      <c r="G227" s="163">
        <v>137200</v>
      </c>
      <c r="H227" s="163">
        <v>0</v>
      </c>
      <c r="I227" s="163">
        <v>0</v>
      </c>
      <c r="J227" s="163">
        <v>0</v>
      </c>
      <c r="K227" s="163">
        <v>0</v>
      </c>
      <c r="L227" s="163">
        <v>0</v>
      </c>
      <c r="M227" s="163">
        <v>0</v>
      </c>
      <c r="N227" s="163">
        <v>0</v>
      </c>
      <c r="O227" s="163">
        <v>0</v>
      </c>
      <c r="P227" s="163">
        <v>0</v>
      </c>
      <c r="Q227" s="163">
        <v>0</v>
      </c>
      <c r="R227" s="163">
        <v>38788288</v>
      </c>
      <c r="S227" s="163">
        <v>0</v>
      </c>
      <c r="T227" s="163">
        <v>0</v>
      </c>
      <c r="U227" s="163">
        <v>0</v>
      </c>
      <c r="V227" s="163">
        <v>0</v>
      </c>
      <c r="W227" s="163">
        <v>0</v>
      </c>
      <c r="X227" s="156">
        <f>IFERROR(VLOOKUP(A227,Table7[],2,FALSE),0)</f>
        <v>77934.181199999992</v>
      </c>
      <c r="Y227" s="163">
        <v>0</v>
      </c>
      <c r="Z227" s="163">
        <v>0</v>
      </c>
      <c r="AA227" s="163">
        <v>0</v>
      </c>
      <c r="AB227" s="163">
        <v>467875.52</v>
      </c>
      <c r="AC227" s="163">
        <v>0</v>
      </c>
      <c r="AD227" s="163">
        <v>1453536</v>
      </c>
      <c r="AE227" s="163">
        <v>0</v>
      </c>
      <c r="AF227" s="163">
        <v>94080</v>
      </c>
      <c r="AG227" s="163">
        <v>0</v>
      </c>
      <c r="AH227" s="163">
        <v>3401874</v>
      </c>
      <c r="AI227" s="164">
        <v>642880</v>
      </c>
      <c r="AJ227" s="141">
        <f t="shared" ref="AJ227" si="218">SUMIF(C228:AI228,"Yes",C227:AI227)</f>
        <v>0</v>
      </c>
      <c r="AK227" s="142">
        <f>AJ227+B227</f>
        <v>38790000</v>
      </c>
    </row>
    <row r="228" spans="1:37" ht="19.5" customHeight="1" x14ac:dyDescent="0.4">
      <c r="A228" s="158"/>
      <c r="B228" s="159"/>
      <c r="C228" s="135"/>
      <c r="D228" s="136"/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  <c r="O228" s="136"/>
      <c r="P228" s="136"/>
      <c r="Q228" s="136"/>
      <c r="R228" s="136"/>
      <c r="S228" s="136"/>
      <c r="T228" s="136"/>
      <c r="U228" s="136"/>
      <c r="V228" s="136"/>
      <c r="W228" s="136"/>
      <c r="X228" s="136"/>
      <c r="Y228" s="136"/>
      <c r="Z228" s="136"/>
      <c r="AA228" s="136"/>
      <c r="AB228" s="136"/>
      <c r="AC228" s="136"/>
      <c r="AD228" s="136"/>
      <c r="AE228" s="136"/>
      <c r="AF228" s="136"/>
      <c r="AG228" s="136"/>
      <c r="AH228" s="136"/>
      <c r="AI228" s="137"/>
      <c r="AJ228" s="144" t="str">
        <f t="shared" ref="AJ228" si="219">IF(COUNTIF(C228:AI228,"Yes")&lt;1,"",CONCATENATE("Count of 'Yes' : ",COUNTIF(C228:AI228,"Yes")))</f>
        <v/>
      </c>
      <c r="AK228" s="143"/>
    </row>
    <row r="229" spans="1:37" x14ac:dyDescent="0.4">
      <c r="A229" s="160" t="s">
        <v>119</v>
      </c>
      <c r="B229" s="161">
        <f>'Step1 - Def and Mod Analysis'!U121</f>
        <v>2860562.3446028456</v>
      </c>
      <c r="C229" s="162">
        <v>0</v>
      </c>
      <c r="D229" s="163">
        <v>0</v>
      </c>
      <c r="E229" s="163">
        <v>0</v>
      </c>
      <c r="F229" s="163">
        <v>0</v>
      </c>
      <c r="G229" s="163">
        <v>137200</v>
      </c>
      <c r="H229" s="163">
        <v>7672224</v>
      </c>
      <c r="I229" s="163">
        <v>1097600</v>
      </c>
      <c r="J229" s="163">
        <v>0</v>
      </c>
      <c r="K229" s="163">
        <v>0</v>
      </c>
      <c r="L229" s="163">
        <v>0</v>
      </c>
      <c r="M229" s="163">
        <v>0</v>
      </c>
      <c r="N229" s="163">
        <v>0</v>
      </c>
      <c r="O229" s="163">
        <v>0</v>
      </c>
      <c r="P229" s="163">
        <v>0</v>
      </c>
      <c r="Q229" s="163">
        <v>0</v>
      </c>
      <c r="R229" s="163">
        <v>0</v>
      </c>
      <c r="S229" s="163">
        <v>0</v>
      </c>
      <c r="T229" s="163">
        <v>0</v>
      </c>
      <c r="U229" s="163">
        <v>0</v>
      </c>
      <c r="V229" s="163">
        <v>0</v>
      </c>
      <c r="W229" s="163">
        <v>0</v>
      </c>
      <c r="X229" s="156">
        <f>IFERROR(VLOOKUP(A229,Table7[],2,FALSE),0)</f>
        <v>437876.29639999999</v>
      </c>
      <c r="Y229" s="163">
        <v>0</v>
      </c>
      <c r="Z229" s="163">
        <v>0</v>
      </c>
      <c r="AA229" s="163">
        <v>0</v>
      </c>
      <c r="AB229" s="163">
        <v>449482.88</v>
      </c>
      <c r="AC229" s="163">
        <v>0</v>
      </c>
      <c r="AD229" s="163">
        <v>0</v>
      </c>
      <c r="AE229" s="163">
        <v>205800</v>
      </c>
      <c r="AF229" s="163">
        <v>172480</v>
      </c>
      <c r="AG229" s="163">
        <v>0</v>
      </c>
      <c r="AH229" s="163">
        <v>2932650</v>
      </c>
      <c r="AI229" s="164">
        <v>0</v>
      </c>
      <c r="AJ229" s="141">
        <f t="shared" ref="AJ229" si="220">SUMIF(C230:AI230,"Yes",C229:AI229)</f>
        <v>0</v>
      </c>
      <c r="AK229" s="142">
        <f>AJ229+B229</f>
        <v>2860562.3446028456</v>
      </c>
    </row>
    <row r="230" spans="1:37" ht="19.5" customHeight="1" x14ac:dyDescent="0.4">
      <c r="A230" s="158"/>
      <c r="B230" s="159"/>
      <c r="C230" s="135"/>
      <c r="D230" s="136"/>
      <c r="E230" s="136"/>
      <c r="F230" s="136"/>
      <c r="G230" s="136"/>
      <c r="H230" s="136"/>
      <c r="I230" s="136"/>
      <c r="J230" s="136"/>
      <c r="K230" s="136"/>
      <c r="L230" s="136"/>
      <c r="M230" s="136"/>
      <c r="N230" s="136"/>
      <c r="O230" s="136"/>
      <c r="P230" s="136"/>
      <c r="Q230" s="136"/>
      <c r="R230" s="136"/>
      <c r="S230" s="136"/>
      <c r="T230" s="136"/>
      <c r="U230" s="136"/>
      <c r="V230" s="136"/>
      <c r="W230" s="136"/>
      <c r="X230" s="136"/>
      <c r="Y230" s="136"/>
      <c r="Z230" s="136"/>
      <c r="AA230" s="136"/>
      <c r="AB230" s="136"/>
      <c r="AC230" s="136"/>
      <c r="AD230" s="136"/>
      <c r="AE230" s="136"/>
      <c r="AF230" s="136"/>
      <c r="AG230" s="136"/>
      <c r="AH230" s="136"/>
      <c r="AI230" s="137"/>
      <c r="AJ230" s="144" t="str">
        <f t="shared" ref="AJ230" si="221">IF(COUNTIF(C230:AI230,"Yes")&lt;1,"",CONCATENATE("Count of 'Yes' : ",COUNTIF(C230:AI230,"Yes")))</f>
        <v/>
      </c>
      <c r="AK230" s="143"/>
    </row>
    <row r="231" spans="1:37" x14ac:dyDescent="0.4">
      <c r="A231" s="160" t="s">
        <v>120</v>
      </c>
      <c r="B231" s="161">
        <f>'Step1 - Def and Mod Analysis'!U122</f>
        <v>2465618.5192125477</v>
      </c>
      <c r="C231" s="162">
        <v>0</v>
      </c>
      <c r="D231" s="163">
        <v>0</v>
      </c>
      <c r="E231" s="163">
        <v>0</v>
      </c>
      <c r="F231" s="163">
        <v>0</v>
      </c>
      <c r="G231" s="163">
        <v>0</v>
      </c>
      <c r="H231" s="163">
        <v>0</v>
      </c>
      <c r="I231" s="163">
        <v>0</v>
      </c>
      <c r="J231" s="163">
        <v>0</v>
      </c>
      <c r="K231" s="163">
        <v>0</v>
      </c>
      <c r="L231" s="163">
        <v>0</v>
      </c>
      <c r="M231" s="163">
        <v>0</v>
      </c>
      <c r="N231" s="163">
        <v>0</v>
      </c>
      <c r="O231" s="163">
        <v>0</v>
      </c>
      <c r="P231" s="163">
        <v>0</v>
      </c>
      <c r="Q231" s="163">
        <v>0</v>
      </c>
      <c r="R231" s="163">
        <v>0</v>
      </c>
      <c r="S231" s="163">
        <v>0</v>
      </c>
      <c r="T231" s="163">
        <v>0</v>
      </c>
      <c r="U231" s="163">
        <v>0</v>
      </c>
      <c r="V231" s="163">
        <v>0</v>
      </c>
      <c r="W231" s="163">
        <v>0</v>
      </c>
      <c r="X231" s="156">
        <f>IFERROR(VLOOKUP(A231,Table7[],2,FALSE),0)</f>
        <v>1299575.3088000002</v>
      </c>
      <c r="Y231" s="163">
        <v>0</v>
      </c>
      <c r="Z231" s="163">
        <v>0</v>
      </c>
      <c r="AA231" s="163">
        <v>0</v>
      </c>
      <c r="AB231" s="163">
        <v>243933.76</v>
      </c>
      <c r="AC231" s="163">
        <v>0</v>
      </c>
      <c r="AD231" s="163">
        <v>1580544</v>
      </c>
      <c r="AE231" s="163">
        <v>205800</v>
      </c>
      <c r="AF231" s="163">
        <v>0</v>
      </c>
      <c r="AG231" s="163">
        <v>4226348</v>
      </c>
      <c r="AH231" s="163">
        <v>0</v>
      </c>
      <c r="AI231" s="164">
        <v>0</v>
      </c>
      <c r="AJ231" s="141">
        <f t="shared" ref="AJ231" si="222">SUMIF(C232:AI232,"Yes",C231:AI231)</f>
        <v>0</v>
      </c>
      <c r="AK231" s="142">
        <f>AJ231+B231</f>
        <v>2465618.5192125477</v>
      </c>
    </row>
    <row r="232" spans="1:37" ht="19.5" customHeight="1" x14ac:dyDescent="0.4">
      <c r="A232" s="158"/>
      <c r="B232" s="159"/>
      <c r="C232" s="135"/>
      <c r="D232" s="136"/>
      <c r="E232" s="136"/>
      <c r="F232" s="136"/>
      <c r="G232" s="136"/>
      <c r="H232" s="136"/>
      <c r="I232" s="136"/>
      <c r="J232" s="136"/>
      <c r="K232" s="136"/>
      <c r="L232" s="136"/>
      <c r="M232" s="136"/>
      <c r="N232" s="136"/>
      <c r="O232" s="136"/>
      <c r="P232" s="136"/>
      <c r="Q232" s="136"/>
      <c r="R232" s="136"/>
      <c r="S232" s="136"/>
      <c r="T232" s="136"/>
      <c r="U232" s="136"/>
      <c r="V232" s="136"/>
      <c r="W232" s="136"/>
      <c r="X232" s="136"/>
      <c r="Y232" s="136"/>
      <c r="Z232" s="136"/>
      <c r="AA232" s="136"/>
      <c r="AB232" s="136"/>
      <c r="AC232" s="136"/>
      <c r="AD232" s="136"/>
      <c r="AE232" s="136"/>
      <c r="AF232" s="136"/>
      <c r="AG232" s="136"/>
      <c r="AH232" s="136"/>
      <c r="AI232" s="137"/>
      <c r="AJ232" s="144" t="str">
        <f t="shared" ref="AJ232" si="223">IF(COUNTIF(C232:AI232,"Yes")&lt;1,"",CONCATENATE("Count of 'Yes' : ",COUNTIF(C232:AI232,"Yes")))</f>
        <v/>
      </c>
      <c r="AK232" s="143"/>
    </row>
    <row r="233" spans="1:37" x14ac:dyDescent="0.4">
      <c r="A233" s="160" t="s">
        <v>121</v>
      </c>
      <c r="B233" s="161">
        <f>'Step1 - Def and Mod Analysis'!U123</f>
        <v>638892.1740224472</v>
      </c>
      <c r="C233" s="162">
        <v>0</v>
      </c>
      <c r="D233" s="163">
        <v>0</v>
      </c>
      <c r="E233" s="163">
        <v>0</v>
      </c>
      <c r="F233" s="163">
        <v>0</v>
      </c>
      <c r="G233" s="163">
        <v>0</v>
      </c>
      <c r="H233" s="163">
        <v>0</v>
      </c>
      <c r="I233" s="163">
        <v>0</v>
      </c>
      <c r="J233" s="163">
        <v>0</v>
      </c>
      <c r="K233" s="163">
        <v>0</v>
      </c>
      <c r="L233" s="163">
        <v>0</v>
      </c>
      <c r="M233" s="163">
        <v>0</v>
      </c>
      <c r="N233" s="163">
        <v>0</v>
      </c>
      <c r="O233" s="163">
        <v>0</v>
      </c>
      <c r="P233" s="163">
        <v>0</v>
      </c>
      <c r="Q233" s="163">
        <v>0</v>
      </c>
      <c r="R233" s="163">
        <v>0</v>
      </c>
      <c r="S233" s="163">
        <v>0</v>
      </c>
      <c r="T233" s="163">
        <v>0</v>
      </c>
      <c r="U233" s="163">
        <v>0</v>
      </c>
      <c r="V233" s="163">
        <v>0</v>
      </c>
      <c r="W233" s="163">
        <v>0</v>
      </c>
      <c r="X233" s="156">
        <f>IFERROR(VLOOKUP(A233,Table7[],2,FALSE),0)</f>
        <v>570232.88040400005</v>
      </c>
      <c r="Y233" s="163">
        <v>0</v>
      </c>
      <c r="Z233" s="163">
        <v>0</v>
      </c>
      <c r="AA233" s="163">
        <v>0</v>
      </c>
      <c r="AB233" s="163">
        <v>0</v>
      </c>
      <c r="AC233" s="163">
        <v>0</v>
      </c>
      <c r="AD233" s="163">
        <v>0</v>
      </c>
      <c r="AE233" s="163">
        <v>0</v>
      </c>
      <c r="AF233" s="163">
        <v>0</v>
      </c>
      <c r="AG233" s="163">
        <v>0</v>
      </c>
      <c r="AH233" s="163">
        <v>0</v>
      </c>
      <c r="AI233" s="164">
        <v>0</v>
      </c>
      <c r="AJ233" s="141">
        <f t="shared" ref="AJ233" si="224">SUMIF(C234:AI234,"Yes",C233:AI233)</f>
        <v>0</v>
      </c>
      <c r="AK233" s="142">
        <f>AJ233+B233</f>
        <v>638892.1740224472</v>
      </c>
    </row>
    <row r="234" spans="1:37" ht="19.5" customHeight="1" x14ac:dyDescent="0.4">
      <c r="A234" s="158"/>
      <c r="B234" s="159"/>
      <c r="C234" s="135"/>
      <c r="D234" s="136"/>
      <c r="E234" s="136"/>
      <c r="F234" s="136"/>
      <c r="G234" s="136"/>
      <c r="H234" s="136"/>
      <c r="I234" s="136"/>
      <c r="J234" s="136"/>
      <c r="K234" s="136"/>
      <c r="L234" s="136"/>
      <c r="M234" s="136"/>
      <c r="N234" s="136"/>
      <c r="O234" s="136"/>
      <c r="P234" s="136"/>
      <c r="Q234" s="136"/>
      <c r="R234" s="136"/>
      <c r="S234" s="136"/>
      <c r="T234" s="136"/>
      <c r="U234" s="136"/>
      <c r="V234" s="136"/>
      <c r="W234" s="136"/>
      <c r="X234" s="136"/>
      <c r="Y234" s="136"/>
      <c r="Z234" s="136"/>
      <c r="AA234" s="136"/>
      <c r="AB234" s="136"/>
      <c r="AC234" s="136"/>
      <c r="AD234" s="136"/>
      <c r="AE234" s="136"/>
      <c r="AF234" s="136"/>
      <c r="AG234" s="136"/>
      <c r="AH234" s="136"/>
      <c r="AI234" s="137"/>
      <c r="AJ234" s="144" t="str">
        <f t="shared" ref="AJ234" si="225">IF(COUNTIF(C234:AI234,"Yes")&lt;1,"",CONCATENATE("Count of 'Yes' : ",COUNTIF(C234:AI234,"Yes")))</f>
        <v/>
      </c>
      <c r="AK234" s="143"/>
    </row>
  </sheetData>
  <mergeCells count="8">
    <mergeCell ref="AK3:AK4"/>
    <mergeCell ref="AG3:AI3"/>
    <mergeCell ref="Z3:AF3"/>
    <mergeCell ref="C3:I3"/>
    <mergeCell ref="J3:O3"/>
    <mergeCell ref="Q3:U3"/>
    <mergeCell ref="W3:X3"/>
    <mergeCell ref="AJ3:AJ4"/>
  </mergeCells>
  <conditionalFormatting sqref="B5:B234">
    <cfRule type="cellIs" dxfId="4" priority="3" operator="greaterThan">
      <formula>29000000</formula>
    </cfRule>
  </conditionalFormatting>
  <conditionalFormatting sqref="C5:AI234">
    <cfRule type="expression" dxfId="3" priority="1">
      <formula>$B5&gt;29000000</formula>
    </cfRule>
  </conditionalFormatting>
  <dataValidations count="1">
    <dataValidation type="list" allowBlank="1" showInputMessage="1" showErrorMessage="1" sqref="C6:AI6 C10:AI10 C12:AI12 C230:AI230 C228:AI228 C226:AI226 C224:AI224 C222:AI222 C220:AI220 C218:AI218 C216:AI216 C214:AI214 C212:AI212 C210:AI210 C208:AI208 C206:AI206 C204:AI204 C202:AI202 C200:AI200 C198:AI198 C196:AI196 C194:AI194 C192:AI192 C190:AI190 C188:AI188 C186:AI186 C184:AI184 C182:AI182 C180:AI180 C178:AI178 C176:AI176 C174:AI174 C172:AI172 C170:AI170 C168:AI168 C166:AI166 C164:AI164 C162:AI162 C160:AI160 C158:AI158 C156:AI156 C154:AI154 C152:AI152 C150:AI150 C148:AI148 C146:AI146 C144:AI144 C142:AI142 C140:AI140 C138:AI138 C136:AI136 C134:AI134 C132:AI132 C130:AI130 C128:AI128 C126:AI126 C124:AI124 C122:AI122 C120:AI120 C118:AI118 C116:AI116 C114:AI114 C112:AI112 C110:AI110 C108:AI108 C106:AI106 C104:AI104 C102:AI102 C100:AI100 C98:AI98 C96:AI96 C94:AI94 C92:AI92 C90:AI90 C88:AI88 C86:AI86 C84:AI84 C82:AI82 C80:AI80 C78:AI78 C76:AI76 C74:AI74 C72:AI72 C70:AI70 C68:AI68 C66:AI66 C64:AI64 C62:AI62 C60:AI60 C58:AI58 C56:AI56 C54:AI54 C52:AI52 C50:AI50 C48:AI48 C46:AI46 C44:AI44 C42:AI42 C40:AI40 C38:AI38 C36:AI36 C34:AI34 C32:AI32 C30:AI30 C28:AI28 C26:AI26 C24:AI24 C22:AI22 C20:AI20 C18:AI18 C16:AI16 C14:AI14 C8:AI8 C234:AI234 C232:AI232" xr:uid="{ACF16F11-8E3E-4C65-995C-223571C288C9}">
      <formula1>$AO$2:$AO$4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8D11E-C941-4EF3-A60B-60819695F0E5}">
  <sheetPr>
    <tabColor rgb="FF99FF99"/>
  </sheetPr>
  <dimension ref="A1:J42"/>
  <sheetViews>
    <sheetView workbookViewId="0">
      <selection activeCell="C20" sqref="C20:C21"/>
    </sheetView>
  </sheetViews>
  <sheetFormatPr defaultRowHeight="15" x14ac:dyDescent="0.25"/>
  <cols>
    <col min="1" max="2" width="26.85546875" customWidth="1"/>
    <col min="3" max="3" width="15.42578125" customWidth="1"/>
    <col min="4" max="4" width="27.85546875" customWidth="1"/>
    <col min="6" max="6" width="29.7109375" customWidth="1"/>
  </cols>
  <sheetData>
    <row r="1" spans="1:10" ht="15.75" thickBot="1" x14ac:dyDescent="0.3">
      <c r="A1" s="308" t="s">
        <v>233</v>
      </c>
      <c r="B1" s="309"/>
      <c r="C1" s="309"/>
      <c r="D1" s="310"/>
      <c r="J1" s="293" t="s">
        <v>256</v>
      </c>
    </row>
    <row r="2" spans="1:10" x14ac:dyDescent="0.25">
      <c r="A2" s="78" t="s">
        <v>171</v>
      </c>
      <c r="B2" s="79" t="s">
        <v>170</v>
      </c>
      <c r="C2" s="79" t="s">
        <v>169</v>
      </c>
      <c r="D2" s="80" t="s">
        <v>178</v>
      </c>
      <c r="F2" s="300" t="s">
        <v>367</v>
      </c>
      <c r="J2" s="294"/>
    </row>
    <row r="3" spans="1:10" s="73" customFormat="1" ht="75.75" thickBot="1" x14ac:dyDescent="0.3">
      <c r="A3" s="90" t="s">
        <v>235</v>
      </c>
      <c r="B3" s="94" t="s">
        <v>239</v>
      </c>
      <c r="C3" s="91">
        <v>55050000</v>
      </c>
      <c r="D3" s="292"/>
      <c r="F3" s="289">
        <f>SUMIF(D3:D6,"Yes",C3:C6)</f>
        <v>0</v>
      </c>
      <c r="J3" s="295" t="s">
        <v>160</v>
      </c>
    </row>
    <row r="4" spans="1:10" s="73" customFormat="1" ht="75" x14ac:dyDescent="0.25">
      <c r="A4" s="90" t="s">
        <v>236</v>
      </c>
      <c r="B4" s="94" t="s">
        <v>240</v>
      </c>
      <c r="C4" s="91">
        <v>14000000</v>
      </c>
      <c r="D4" s="292"/>
      <c r="J4" s="295" t="s">
        <v>247</v>
      </c>
    </row>
    <row r="5" spans="1:10" s="73" customFormat="1" ht="75" x14ac:dyDescent="0.25">
      <c r="A5" s="93" t="s">
        <v>237</v>
      </c>
      <c r="B5" s="94" t="s">
        <v>241</v>
      </c>
      <c r="C5" s="92">
        <v>5000000</v>
      </c>
      <c r="D5" s="292"/>
    </row>
    <row r="6" spans="1:10" s="73" customFormat="1" ht="45" x14ac:dyDescent="0.25">
      <c r="A6" s="90" t="s">
        <v>238</v>
      </c>
      <c r="B6" s="94" t="s">
        <v>242</v>
      </c>
      <c r="C6" s="91">
        <v>5950000</v>
      </c>
      <c r="D6" s="292"/>
    </row>
    <row r="8" spans="1:10" ht="18" customHeight="1" x14ac:dyDescent="0.25"/>
    <row r="9" spans="1:10" ht="18.75" thickBot="1" x14ac:dyDescent="0.3">
      <c r="F9" s="89"/>
    </row>
    <row r="10" spans="1:10" ht="15.75" thickBot="1" x14ac:dyDescent="0.3">
      <c r="A10" s="340" t="s">
        <v>366</v>
      </c>
      <c r="B10" s="341"/>
      <c r="C10" s="341"/>
      <c r="D10" s="342"/>
      <c r="F10" s="300" t="s">
        <v>367</v>
      </c>
    </row>
    <row r="11" spans="1:10" ht="15.75" thickBot="1" x14ac:dyDescent="0.3">
      <c r="A11" s="297" t="s">
        <v>171</v>
      </c>
      <c r="B11" s="298" t="s">
        <v>170</v>
      </c>
      <c r="C11" s="298" t="s">
        <v>169</v>
      </c>
      <c r="D11" s="299" t="s">
        <v>178</v>
      </c>
      <c r="F11" s="289">
        <f>SUMIF(D12:D26,"Yes",C12:C26)</f>
        <v>0</v>
      </c>
    </row>
    <row r="12" spans="1:10" x14ac:dyDescent="0.25">
      <c r="A12" s="75" t="s">
        <v>181</v>
      </c>
      <c r="B12" s="75" t="s">
        <v>213</v>
      </c>
      <c r="C12" s="91">
        <v>4766720</v>
      </c>
      <c r="D12" s="292"/>
    </row>
    <row r="13" spans="1:10" x14ac:dyDescent="0.25">
      <c r="A13" s="75" t="s">
        <v>225</v>
      </c>
      <c r="B13" s="75" t="s">
        <v>209</v>
      </c>
      <c r="C13" s="91">
        <v>400000</v>
      </c>
      <c r="D13" s="292"/>
    </row>
    <row r="14" spans="1:10" ht="18" x14ac:dyDescent="0.25">
      <c r="A14" s="75" t="s">
        <v>231</v>
      </c>
      <c r="B14" s="75" t="s">
        <v>232</v>
      </c>
      <c r="C14" s="91">
        <v>60000000</v>
      </c>
      <c r="D14" s="292"/>
      <c r="F14" s="89"/>
    </row>
    <row r="15" spans="1:10" x14ac:dyDescent="0.25">
      <c r="A15" s="75" t="s">
        <v>186</v>
      </c>
      <c r="B15" s="75" t="s">
        <v>220</v>
      </c>
      <c r="C15" s="91">
        <v>4578560</v>
      </c>
      <c r="D15" s="292"/>
    </row>
    <row r="16" spans="1:10" x14ac:dyDescent="0.25">
      <c r="A16" s="75" t="s">
        <v>228</v>
      </c>
      <c r="B16" s="75" t="s">
        <v>229</v>
      </c>
      <c r="C16" s="91">
        <v>18583740</v>
      </c>
      <c r="D16" s="292"/>
    </row>
    <row r="17" spans="1:6" x14ac:dyDescent="0.25">
      <c r="A17" s="75" t="s">
        <v>187</v>
      </c>
      <c r="B17" s="75" t="s">
        <v>213</v>
      </c>
      <c r="C17" s="91">
        <v>2665600</v>
      </c>
      <c r="D17" s="292"/>
    </row>
    <row r="18" spans="1:6" x14ac:dyDescent="0.25">
      <c r="A18" s="75" t="s">
        <v>226</v>
      </c>
      <c r="B18" s="75" t="s">
        <v>227</v>
      </c>
      <c r="C18" s="91">
        <v>9800000</v>
      </c>
      <c r="D18" s="292"/>
    </row>
    <row r="19" spans="1:6" x14ac:dyDescent="0.25">
      <c r="A19" s="75" t="s">
        <v>225</v>
      </c>
      <c r="B19" s="301" t="s">
        <v>370</v>
      </c>
      <c r="C19" s="91">
        <v>11370450</v>
      </c>
      <c r="D19" s="292"/>
    </row>
    <row r="20" spans="1:6" x14ac:dyDescent="0.25">
      <c r="A20" s="75" t="s">
        <v>225</v>
      </c>
      <c r="B20" s="301" t="s">
        <v>371</v>
      </c>
      <c r="C20" s="91">
        <v>11370450</v>
      </c>
      <c r="D20" s="292"/>
    </row>
    <row r="21" spans="1:6" x14ac:dyDescent="0.25">
      <c r="A21" s="75" t="s">
        <v>225</v>
      </c>
      <c r="B21" s="301" t="s">
        <v>372</v>
      </c>
      <c r="C21" s="91">
        <v>11370450</v>
      </c>
      <c r="D21" s="292"/>
    </row>
    <row r="22" spans="1:6" x14ac:dyDescent="0.25">
      <c r="A22" s="75" t="s">
        <v>182</v>
      </c>
      <c r="B22" s="75"/>
      <c r="C22" s="91"/>
      <c r="D22" s="292"/>
    </row>
    <row r="23" spans="1:6" x14ac:dyDescent="0.25">
      <c r="A23" s="75" t="s">
        <v>184</v>
      </c>
      <c r="B23" s="75"/>
      <c r="C23" s="91"/>
      <c r="D23" s="292"/>
    </row>
    <row r="24" spans="1:6" x14ac:dyDescent="0.25">
      <c r="A24" s="75" t="s">
        <v>185</v>
      </c>
      <c r="B24" s="75"/>
      <c r="C24" s="91"/>
      <c r="D24" s="292"/>
    </row>
    <row r="25" spans="1:6" x14ac:dyDescent="0.25">
      <c r="A25" s="75" t="s">
        <v>188</v>
      </c>
      <c r="B25" s="75"/>
      <c r="C25" s="91"/>
      <c r="D25" s="292"/>
    </row>
    <row r="26" spans="1:6" x14ac:dyDescent="0.25">
      <c r="A26" s="296" t="s">
        <v>368</v>
      </c>
      <c r="B26" s="75"/>
      <c r="C26" s="91"/>
      <c r="D26" s="292"/>
    </row>
    <row r="29" spans="1:6" ht="15.75" thickBot="1" x14ac:dyDescent="0.3"/>
    <row r="30" spans="1:6" x14ac:dyDescent="0.25">
      <c r="A30" s="343" t="s">
        <v>365</v>
      </c>
      <c r="B30" s="344"/>
      <c r="C30" s="344"/>
      <c r="D30" s="345"/>
      <c r="F30" s="300" t="s">
        <v>367</v>
      </c>
    </row>
    <row r="31" spans="1:6" ht="15.75" thickBot="1" x14ac:dyDescent="0.3">
      <c r="A31" s="78" t="s">
        <v>171</v>
      </c>
      <c r="B31" s="79" t="s">
        <v>170</v>
      </c>
      <c r="C31" s="79" t="s">
        <v>169</v>
      </c>
      <c r="D31" s="80" t="s">
        <v>178</v>
      </c>
      <c r="F31" s="289">
        <f>SUMIF(D32:D42,"Yes",C32:C42)</f>
        <v>0</v>
      </c>
    </row>
    <row r="32" spans="1:6" ht="45" x14ac:dyDescent="0.25">
      <c r="A32" s="78" t="s">
        <v>174</v>
      </c>
      <c r="B32" s="81" t="s">
        <v>175</v>
      </c>
      <c r="C32" s="291"/>
      <c r="D32" s="292"/>
    </row>
    <row r="33" spans="1:4" x14ac:dyDescent="0.25">
      <c r="A33" s="74" t="s">
        <v>176</v>
      </c>
      <c r="B33" s="75" t="s">
        <v>177</v>
      </c>
      <c r="C33" s="291">
        <v>0</v>
      </c>
      <c r="D33" s="292"/>
    </row>
    <row r="34" spans="1:4" x14ac:dyDescent="0.25">
      <c r="A34" s="74"/>
      <c r="B34" s="75"/>
      <c r="C34" s="291">
        <v>0</v>
      </c>
      <c r="D34" s="292"/>
    </row>
    <row r="35" spans="1:4" x14ac:dyDescent="0.25">
      <c r="A35" s="74"/>
      <c r="B35" s="75"/>
      <c r="C35" s="291">
        <v>0</v>
      </c>
      <c r="D35" s="292"/>
    </row>
    <row r="36" spans="1:4" x14ac:dyDescent="0.25">
      <c r="A36" s="74"/>
      <c r="B36" s="75"/>
      <c r="C36" s="291">
        <v>0</v>
      </c>
      <c r="D36" s="292"/>
    </row>
    <row r="37" spans="1:4" x14ac:dyDescent="0.25">
      <c r="A37" s="74"/>
      <c r="B37" s="75"/>
      <c r="C37" s="291">
        <v>0</v>
      </c>
      <c r="D37" s="292"/>
    </row>
    <row r="38" spans="1:4" x14ac:dyDescent="0.25">
      <c r="A38" s="74"/>
      <c r="B38" s="75"/>
      <c r="C38" s="291">
        <v>0</v>
      </c>
      <c r="D38" s="292"/>
    </row>
    <row r="39" spans="1:4" x14ac:dyDescent="0.25">
      <c r="A39" s="74"/>
      <c r="B39" s="75"/>
      <c r="C39" s="291">
        <v>0</v>
      </c>
      <c r="D39" s="292"/>
    </row>
    <row r="40" spans="1:4" x14ac:dyDescent="0.25">
      <c r="A40" s="74"/>
      <c r="B40" s="75"/>
      <c r="C40" s="291">
        <v>0</v>
      </c>
      <c r="D40" s="292"/>
    </row>
    <row r="41" spans="1:4" x14ac:dyDescent="0.25">
      <c r="A41" s="74"/>
      <c r="B41" s="75"/>
      <c r="C41" s="291">
        <v>0</v>
      </c>
      <c r="D41" s="292"/>
    </row>
    <row r="42" spans="1:4" ht="15.75" thickBot="1" x14ac:dyDescent="0.3">
      <c r="A42" s="76"/>
      <c r="B42" s="77"/>
      <c r="C42" s="291">
        <v>0</v>
      </c>
      <c r="D42" s="292"/>
    </row>
  </sheetData>
  <mergeCells count="3">
    <mergeCell ref="A1:D1"/>
    <mergeCell ref="A10:D10"/>
    <mergeCell ref="A30:D30"/>
  </mergeCells>
  <phoneticPr fontId="58" type="noConversion"/>
  <dataValidations count="1">
    <dataValidation type="list" allowBlank="1" showInputMessage="1" showErrorMessage="1" sqref="D3:D6 D12:D26 D32:D42" xr:uid="{C858ED66-2438-4798-9702-EECDDABD5AD1}">
      <formula1>$J$2:$J$4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874D2-E430-4DCE-A3A8-3829DFC66F46}">
  <sheetPr>
    <pageSetUpPr fitToPage="1"/>
  </sheetPr>
  <dimension ref="A1:E118"/>
  <sheetViews>
    <sheetView zoomScale="70" zoomScaleNormal="70" workbookViewId="0">
      <selection activeCell="O17" sqref="O17"/>
    </sheetView>
  </sheetViews>
  <sheetFormatPr defaultRowHeight="15" x14ac:dyDescent="0.25"/>
  <cols>
    <col min="1" max="1" width="40" bestFit="1" customWidth="1"/>
    <col min="2" max="2" width="40" customWidth="1"/>
    <col min="3" max="3" width="26.140625" customWidth="1"/>
    <col min="4" max="5" width="29.7109375" customWidth="1"/>
  </cols>
  <sheetData>
    <row r="1" spans="1:5" ht="21.75" customHeight="1" x14ac:dyDescent="0.25">
      <c r="A1" s="350" t="s">
        <v>4</v>
      </c>
      <c r="B1" s="351"/>
      <c r="C1" s="351"/>
      <c r="D1" s="351"/>
    </row>
    <row r="2" spans="1:5" x14ac:dyDescent="0.25">
      <c r="A2" s="348" t="s">
        <v>128</v>
      </c>
      <c r="B2" s="346" t="s">
        <v>179</v>
      </c>
      <c r="C2" s="346" t="s">
        <v>166</v>
      </c>
      <c r="D2" s="346" t="s">
        <v>165</v>
      </c>
      <c r="E2" s="346" t="s">
        <v>245</v>
      </c>
    </row>
    <row r="3" spans="1:5" ht="28.5" customHeight="1" x14ac:dyDescent="0.25">
      <c r="A3" s="349"/>
      <c r="B3" s="347"/>
      <c r="C3" s="347"/>
      <c r="D3" s="347"/>
      <c r="E3" s="347"/>
    </row>
    <row r="4" spans="1:5" ht="26.25" x14ac:dyDescent="0.4">
      <c r="A4" s="3" t="s">
        <v>122</v>
      </c>
      <c r="B4" s="69"/>
      <c r="C4" s="69"/>
      <c r="D4" s="69">
        <v>0</v>
      </c>
      <c r="E4" s="12"/>
    </row>
    <row r="5" spans="1:5" ht="26.25" x14ac:dyDescent="0.4">
      <c r="A5" s="3" t="s">
        <v>17</v>
      </c>
      <c r="B5" s="69">
        <v>1</v>
      </c>
      <c r="C5" s="69">
        <v>1</v>
      </c>
      <c r="D5" s="69">
        <v>1</v>
      </c>
      <c r="E5" s="16">
        <v>60020000</v>
      </c>
    </row>
    <row r="6" spans="1:5" ht="26.25" x14ac:dyDescent="0.4">
      <c r="A6" s="3" t="s">
        <v>18</v>
      </c>
      <c r="B6" s="69"/>
      <c r="C6" s="69"/>
      <c r="D6" s="69">
        <v>0</v>
      </c>
      <c r="E6" s="16"/>
    </row>
    <row r="7" spans="1:5" ht="26.25" x14ac:dyDescent="0.4">
      <c r="A7" s="3" t="s">
        <v>19</v>
      </c>
      <c r="B7" s="69">
        <v>1</v>
      </c>
      <c r="C7" s="69">
        <v>1</v>
      </c>
      <c r="D7" s="69">
        <v>1</v>
      </c>
      <c r="E7" s="16">
        <v>60020000</v>
      </c>
    </row>
    <row r="8" spans="1:5" ht="26.25" x14ac:dyDescent="0.4">
      <c r="A8" s="3" t="s">
        <v>124</v>
      </c>
      <c r="B8" s="69"/>
      <c r="C8" s="69">
        <v>1</v>
      </c>
      <c r="D8" s="69">
        <v>1</v>
      </c>
      <c r="E8" s="16"/>
    </row>
    <row r="9" spans="1:5" ht="26.25" x14ac:dyDescent="0.4">
      <c r="A9" s="3" t="s">
        <v>20</v>
      </c>
      <c r="B9" s="69"/>
      <c r="C9" s="69"/>
      <c r="D9" s="69">
        <v>0</v>
      </c>
      <c r="E9" s="16"/>
    </row>
    <row r="10" spans="1:5" ht="26.25" x14ac:dyDescent="0.4">
      <c r="A10" s="3" t="s">
        <v>21</v>
      </c>
      <c r="B10" s="69"/>
      <c r="C10" s="69"/>
      <c r="D10" s="69">
        <v>0</v>
      </c>
      <c r="E10" s="16"/>
    </row>
    <row r="11" spans="1:5" ht="26.25" x14ac:dyDescent="0.4">
      <c r="A11" s="3" t="s">
        <v>22</v>
      </c>
      <c r="B11" s="69"/>
      <c r="C11" s="69"/>
      <c r="D11" s="69">
        <v>0</v>
      </c>
      <c r="E11" s="16"/>
    </row>
    <row r="12" spans="1:5" ht="26.25" x14ac:dyDescent="0.4">
      <c r="A12" s="3" t="s">
        <v>23</v>
      </c>
      <c r="B12" s="69"/>
      <c r="C12" s="69"/>
      <c r="D12" s="69">
        <v>0</v>
      </c>
      <c r="E12" s="16"/>
    </row>
    <row r="13" spans="1:5" ht="26.25" x14ac:dyDescent="0.4">
      <c r="A13" s="3" t="s">
        <v>24</v>
      </c>
      <c r="B13" s="69">
        <v>1</v>
      </c>
      <c r="C13" s="69">
        <v>1</v>
      </c>
      <c r="D13" s="69">
        <v>1</v>
      </c>
      <c r="E13" s="16">
        <v>60020000</v>
      </c>
    </row>
    <row r="14" spans="1:5" ht="26.25" x14ac:dyDescent="0.4">
      <c r="A14" s="3" t="s">
        <v>25</v>
      </c>
      <c r="B14" s="69"/>
      <c r="C14" s="69"/>
      <c r="D14" s="69">
        <v>0</v>
      </c>
      <c r="E14" s="16"/>
    </row>
    <row r="15" spans="1:5" ht="26.25" x14ac:dyDescent="0.4">
      <c r="A15" s="3" t="s">
        <v>26</v>
      </c>
      <c r="B15" s="69"/>
      <c r="C15" s="69"/>
      <c r="D15" s="69">
        <v>0</v>
      </c>
      <c r="E15" s="16"/>
    </row>
    <row r="16" spans="1:5" ht="26.25" x14ac:dyDescent="0.4">
      <c r="A16" s="3" t="s">
        <v>27</v>
      </c>
      <c r="B16" s="69"/>
      <c r="C16" s="69"/>
      <c r="D16" s="69">
        <v>0</v>
      </c>
      <c r="E16" s="16"/>
    </row>
    <row r="17" spans="1:5" ht="26.25" x14ac:dyDescent="0.4">
      <c r="A17" s="3" t="s">
        <v>28</v>
      </c>
      <c r="B17" s="69"/>
      <c r="C17" s="69"/>
      <c r="D17" s="69">
        <v>1</v>
      </c>
      <c r="E17" s="16"/>
    </row>
    <row r="18" spans="1:5" ht="26.25" x14ac:dyDescent="0.4">
      <c r="A18" s="3" t="s">
        <v>29</v>
      </c>
      <c r="B18" s="69"/>
      <c r="C18" s="69"/>
      <c r="D18" s="69">
        <v>1</v>
      </c>
      <c r="E18" s="16"/>
    </row>
    <row r="19" spans="1:5" ht="26.25" x14ac:dyDescent="0.4">
      <c r="A19" s="3" t="s">
        <v>30</v>
      </c>
      <c r="B19" s="69"/>
      <c r="C19" s="69"/>
      <c r="D19" s="69">
        <v>0</v>
      </c>
      <c r="E19" s="16"/>
    </row>
    <row r="20" spans="1:5" ht="26.25" x14ac:dyDescent="0.4">
      <c r="A20" s="3" t="s">
        <v>31</v>
      </c>
      <c r="B20" s="69"/>
      <c r="C20" s="69"/>
      <c r="D20" s="69">
        <v>0</v>
      </c>
      <c r="E20" s="16"/>
    </row>
    <row r="21" spans="1:5" ht="26.25" x14ac:dyDescent="0.4">
      <c r="A21" s="3" t="s">
        <v>32</v>
      </c>
      <c r="B21" s="69"/>
      <c r="C21" s="69"/>
      <c r="D21" s="69">
        <v>0</v>
      </c>
      <c r="E21" s="16"/>
    </row>
    <row r="22" spans="1:5" ht="26.25" x14ac:dyDescent="0.4">
      <c r="A22" s="3" t="s">
        <v>33</v>
      </c>
      <c r="B22" s="69"/>
      <c r="C22" s="69"/>
      <c r="D22" s="69">
        <v>0</v>
      </c>
      <c r="E22" s="16"/>
    </row>
    <row r="23" spans="1:5" ht="26.25" x14ac:dyDescent="0.4">
      <c r="A23" s="3" t="s">
        <v>34</v>
      </c>
      <c r="B23" s="69"/>
      <c r="C23" s="69"/>
      <c r="D23" s="69">
        <v>0</v>
      </c>
      <c r="E23" s="16"/>
    </row>
    <row r="24" spans="1:5" ht="26.25" x14ac:dyDescent="0.4">
      <c r="A24" s="3" t="s">
        <v>35</v>
      </c>
      <c r="B24" s="69"/>
      <c r="C24" s="69"/>
      <c r="D24" s="69">
        <v>0</v>
      </c>
      <c r="E24" s="16"/>
    </row>
    <row r="25" spans="1:5" ht="26.25" x14ac:dyDescent="0.4">
      <c r="A25" s="3" t="s">
        <v>123</v>
      </c>
      <c r="B25" s="69"/>
      <c r="C25" s="69">
        <v>1</v>
      </c>
      <c r="D25" s="69">
        <v>1</v>
      </c>
      <c r="E25" s="16"/>
    </row>
    <row r="26" spans="1:5" ht="26.25" x14ac:dyDescent="0.4">
      <c r="A26" s="3" t="s">
        <v>36</v>
      </c>
      <c r="B26" s="69"/>
      <c r="C26" s="69"/>
      <c r="D26" s="69">
        <v>0</v>
      </c>
      <c r="E26" s="16"/>
    </row>
    <row r="27" spans="1:5" ht="26.25" x14ac:dyDescent="0.4">
      <c r="A27" s="3" t="s">
        <v>37</v>
      </c>
      <c r="B27" s="69">
        <v>1</v>
      </c>
      <c r="C27" s="69">
        <v>1</v>
      </c>
      <c r="D27" s="69">
        <v>1</v>
      </c>
      <c r="E27" s="16">
        <v>160712000</v>
      </c>
    </row>
    <row r="28" spans="1:5" ht="26.25" x14ac:dyDescent="0.4">
      <c r="A28" s="3" t="s">
        <v>38</v>
      </c>
      <c r="B28" s="69"/>
      <c r="C28" s="69"/>
      <c r="D28" s="69">
        <v>0</v>
      </c>
      <c r="E28" s="16"/>
    </row>
    <row r="29" spans="1:5" ht="26.25" x14ac:dyDescent="0.4">
      <c r="A29" s="3" t="s">
        <v>39</v>
      </c>
      <c r="B29" s="69"/>
      <c r="C29" s="69"/>
      <c r="D29" s="69">
        <v>0</v>
      </c>
      <c r="E29" s="16"/>
    </row>
    <row r="30" spans="1:5" ht="26.25" x14ac:dyDescent="0.4">
      <c r="A30" s="3" t="s">
        <v>40</v>
      </c>
      <c r="B30" s="69"/>
      <c r="C30" s="69"/>
      <c r="D30" s="69">
        <v>0</v>
      </c>
      <c r="E30" s="16"/>
    </row>
    <row r="31" spans="1:5" ht="26.25" x14ac:dyDescent="0.4">
      <c r="A31" s="3" t="s">
        <v>41</v>
      </c>
      <c r="B31" s="69"/>
      <c r="C31" s="69"/>
      <c r="D31" s="69">
        <v>0</v>
      </c>
      <c r="E31" s="16"/>
    </row>
    <row r="32" spans="1:5" ht="26.25" x14ac:dyDescent="0.4">
      <c r="A32" s="3" t="s">
        <v>42</v>
      </c>
      <c r="B32" s="69"/>
      <c r="C32" s="69">
        <v>1</v>
      </c>
      <c r="D32" s="69">
        <v>1</v>
      </c>
      <c r="E32" s="16"/>
    </row>
    <row r="33" spans="1:5" ht="26.25" x14ac:dyDescent="0.4">
      <c r="A33" s="3" t="s">
        <v>43</v>
      </c>
      <c r="B33" s="69"/>
      <c r="C33" s="69">
        <v>1</v>
      </c>
      <c r="D33" s="69">
        <v>1</v>
      </c>
      <c r="E33" s="16"/>
    </row>
    <row r="34" spans="1:5" ht="26.25" x14ac:dyDescent="0.4">
      <c r="A34" s="3" t="s">
        <v>44</v>
      </c>
      <c r="B34" s="69"/>
      <c r="C34" s="69"/>
      <c r="D34" s="69">
        <v>0</v>
      </c>
      <c r="E34" s="16"/>
    </row>
    <row r="35" spans="1:5" ht="26.25" x14ac:dyDescent="0.4">
      <c r="A35" s="3" t="s">
        <v>45</v>
      </c>
      <c r="B35" s="69"/>
      <c r="C35" s="69"/>
      <c r="D35" s="69">
        <v>0</v>
      </c>
      <c r="E35" s="16"/>
    </row>
    <row r="36" spans="1:5" ht="26.25" x14ac:dyDescent="0.4">
      <c r="A36" s="3" t="s">
        <v>46</v>
      </c>
      <c r="B36" s="69"/>
      <c r="C36" s="69"/>
      <c r="D36" s="69">
        <v>1</v>
      </c>
      <c r="E36" s="16"/>
    </row>
    <row r="37" spans="1:5" ht="26.25" x14ac:dyDescent="0.4">
      <c r="A37" s="3" t="s">
        <v>47</v>
      </c>
      <c r="B37" s="69"/>
      <c r="C37" s="69"/>
      <c r="D37" s="69">
        <v>0</v>
      </c>
      <c r="E37" s="16"/>
    </row>
    <row r="38" spans="1:5" ht="26.25" x14ac:dyDescent="0.4">
      <c r="A38" s="3" t="s">
        <v>48</v>
      </c>
      <c r="B38" s="69"/>
      <c r="C38" s="69"/>
      <c r="D38" s="69">
        <v>0</v>
      </c>
      <c r="E38" s="16"/>
    </row>
    <row r="39" spans="1:5" ht="26.25" x14ac:dyDescent="0.4">
      <c r="A39" s="3" t="s">
        <v>49</v>
      </c>
      <c r="B39" s="69"/>
      <c r="C39" s="69"/>
      <c r="D39" s="69">
        <v>1</v>
      </c>
      <c r="E39" s="16"/>
    </row>
    <row r="40" spans="1:5" ht="26.25" x14ac:dyDescent="0.4">
      <c r="A40" s="3" t="s">
        <v>50</v>
      </c>
      <c r="B40" s="69">
        <v>1</v>
      </c>
      <c r="C40" s="69">
        <v>1</v>
      </c>
      <c r="D40" s="69">
        <v>1</v>
      </c>
      <c r="E40" s="16">
        <v>35687000</v>
      </c>
    </row>
    <row r="41" spans="1:5" ht="26.25" x14ac:dyDescent="0.4">
      <c r="A41" s="3" t="s">
        <v>51</v>
      </c>
      <c r="B41" s="69"/>
      <c r="C41" s="69"/>
      <c r="D41" s="69">
        <v>0</v>
      </c>
      <c r="E41" s="16"/>
    </row>
    <row r="42" spans="1:5" ht="26.25" x14ac:dyDescent="0.4">
      <c r="A42" s="3" t="s">
        <v>125</v>
      </c>
      <c r="B42" s="69"/>
      <c r="C42" s="69">
        <v>1</v>
      </c>
      <c r="D42" s="69">
        <v>1</v>
      </c>
      <c r="E42" s="16"/>
    </row>
    <row r="43" spans="1:5" ht="26.25" x14ac:dyDescent="0.4">
      <c r="A43" s="3" t="s">
        <v>52</v>
      </c>
      <c r="B43" s="69"/>
      <c r="C43" s="69">
        <v>1</v>
      </c>
      <c r="D43" s="69">
        <v>1</v>
      </c>
      <c r="E43" s="16"/>
    </row>
    <row r="44" spans="1:5" ht="26.25" x14ac:dyDescent="0.4">
      <c r="A44" s="3" t="s">
        <v>0</v>
      </c>
      <c r="B44" s="69">
        <v>3</v>
      </c>
      <c r="C44" s="69">
        <v>1</v>
      </c>
      <c r="D44" s="69">
        <v>1</v>
      </c>
      <c r="E44" s="16"/>
    </row>
    <row r="45" spans="1:5" ht="26.25" x14ac:dyDescent="0.4">
      <c r="A45" s="3" t="s">
        <v>53</v>
      </c>
      <c r="B45" s="69"/>
      <c r="C45" s="69"/>
      <c r="D45" s="69">
        <v>0</v>
      </c>
      <c r="E45" s="16"/>
    </row>
    <row r="46" spans="1:5" ht="26.25" x14ac:dyDescent="0.4">
      <c r="A46" s="3" t="s">
        <v>54</v>
      </c>
      <c r="B46" s="69"/>
      <c r="C46" s="69"/>
      <c r="D46" s="69">
        <v>0</v>
      </c>
      <c r="E46" s="16"/>
    </row>
    <row r="47" spans="1:5" ht="26.25" x14ac:dyDescent="0.4">
      <c r="A47" s="3" t="s">
        <v>55</v>
      </c>
      <c r="B47" s="69"/>
      <c r="C47" s="69">
        <v>1</v>
      </c>
      <c r="D47" s="69">
        <v>1</v>
      </c>
      <c r="E47" s="16"/>
    </row>
    <row r="48" spans="1:5" ht="26.25" x14ac:dyDescent="0.4">
      <c r="A48" s="3" t="s">
        <v>56</v>
      </c>
      <c r="B48" s="69">
        <v>2</v>
      </c>
      <c r="C48" s="69">
        <v>1</v>
      </c>
      <c r="D48" s="69">
        <v>1</v>
      </c>
      <c r="E48" s="16">
        <v>60020000</v>
      </c>
    </row>
    <row r="49" spans="1:5" ht="26.25" x14ac:dyDescent="0.4">
      <c r="A49" s="3" t="s">
        <v>57</v>
      </c>
      <c r="B49" s="69"/>
      <c r="C49" s="69">
        <v>1</v>
      </c>
      <c r="D49" s="69">
        <v>1</v>
      </c>
      <c r="E49" s="16"/>
    </row>
    <row r="50" spans="1:5" ht="26.25" x14ac:dyDescent="0.4">
      <c r="A50" s="3" t="s">
        <v>58</v>
      </c>
      <c r="B50" s="69"/>
      <c r="C50" s="69"/>
      <c r="D50" s="69">
        <v>0</v>
      </c>
      <c r="E50" s="16"/>
    </row>
    <row r="51" spans="1:5" ht="26.25" x14ac:dyDescent="0.4">
      <c r="A51" s="3" t="s">
        <v>59</v>
      </c>
      <c r="B51" s="69">
        <v>1</v>
      </c>
      <c r="C51" s="69">
        <v>1</v>
      </c>
      <c r="D51" s="69">
        <v>1</v>
      </c>
      <c r="E51" s="16">
        <v>38790000</v>
      </c>
    </row>
    <row r="52" spans="1:5" ht="26.25" x14ac:dyDescent="0.4">
      <c r="A52" s="3" t="s">
        <v>60</v>
      </c>
      <c r="B52" s="69"/>
      <c r="C52" s="69">
        <v>1</v>
      </c>
      <c r="D52" s="69">
        <v>1</v>
      </c>
      <c r="E52" s="16"/>
    </row>
    <row r="53" spans="1:5" ht="26.25" x14ac:dyDescent="0.4">
      <c r="A53" s="3" t="s">
        <v>61</v>
      </c>
      <c r="B53" s="69"/>
      <c r="C53" s="69"/>
      <c r="D53" s="69">
        <v>0</v>
      </c>
      <c r="E53" s="16"/>
    </row>
    <row r="54" spans="1:5" ht="26.25" x14ac:dyDescent="0.4">
      <c r="A54" s="3" t="s">
        <v>62</v>
      </c>
      <c r="B54" s="69"/>
      <c r="C54" s="69"/>
      <c r="D54" s="69">
        <v>0</v>
      </c>
      <c r="E54" s="16"/>
    </row>
    <row r="55" spans="1:5" ht="26.25" x14ac:dyDescent="0.4">
      <c r="A55" s="3" t="s">
        <v>63</v>
      </c>
      <c r="B55" s="69">
        <v>1</v>
      </c>
      <c r="C55" s="69">
        <v>1</v>
      </c>
      <c r="D55" s="69">
        <v>1</v>
      </c>
      <c r="E55" s="16">
        <v>60020000</v>
      </c>
    </row>
    <row r="56" spans="1:5" ht="26.25" x14ac:dyDescent="0.4">
      <c r="A56" s="3" t="s">
        <v>64</v>
      </c>
      <c r="B56" s="69"/>
      <c r="C56" s="69">
        <v>1</v>
      </c>
      <c r="D56" s="69">
        <v>1</v>
      </c>
      <c r="E56" s="16"/>
    </row>
    <row r="57" spans="1:5" ht="26.25" x14ac:dyDescent="0.4">
      <c r="A57" s="3" t="s">
        <v>65</v>
      </c>
      <c r="B57" s="69"/>
      <c r="C57" s="69"/>
      <c r="D57" s="69">
        <v>0</v>
      </c>
      <c r="E57" s="16"/>
    </row>
    <row r="58" spans="1:5" ht="26.25" x14ac:dyDescent="0.4">
      <c r="A58" s="3" t="s">
        <v>66</v>
      </c>
      <c r="B58" s="69"/>
      <c r="C58" s="69"/>
      <c r="D58" s="69">
        <v>0</v>
      </c>
      <c r="E58" s="16"/>
    </row>
    <row r="59" spans="1:5" ht="26.25" x14ac:dyDescent="0.4">
      <c r="A59" s="3" t="s">
        <v>67</v>
      </c>
      <c r="B59" s="69"/>
      <c r="C59" s="69"/>
      <c r="D59" s="69">
        <v>0</v>
      </c>
      <c r="E59" s="16"/>
    </row>
    <row r="60" spans="1:5" ht="26.25" x14ac:dyDescent="0.4">
      <c r="A60" s="3" t="s">
        <v>68</v>
      </c>
      <c r="B60" s="69"/>
      <c r="C60" s="69"/>
      <c r="D60" s="69">
        <v>0</v>
      </c>
      <c r="E60" s="16"/>
    </row>
    <row r="61" spans="1:5" ht="26.25" x14ac:dyDescent="0.4">
      <c r="A61" s="3" t="s">
        <v>69</v>
      </c>
      <c r="B61" s="69"/>
      <c r="C61" s="69"/>
      <c r="D61" s="69">
        <v>0</v>
      </c>
      <c r="E61" s="16"/>
    </row>
    <row r="62" spans="1:5" ht="26.25" x14ac:dyDescent="0.4">
      <c r="A62" s="3" t="s">
        <v>70</v>
      </c>
      <c r="B62" s="69">
        <v>1</v>
      </c>
      <c r="C62" s="69">
        <v>1</v>
      </c>
      <c r="D62" s="69">
        <v>1</v>
      </c>
      <c r="E62" s="16">
        <v>60020000</v>
      </c>
    </row>
    <row r="63" spans="1:5" ht="26.25" x14ac:dyDescent="0.4">
      <c r="A63" s="3" t="s">
        <v>126</v>
      </c>
      <c r="B63" s="69"/>
      <c r="C63" s="69"/>
      <c r="D63" s="69">
        <v>0</v>
      </c>
      <c r="E63" s="16"/>
    </row>
    <row r="64" spans="1:5" ht="26.25" x14ac:dyDescent="0.4">
      <c r="A64" s="3" t="s">
        <v>71</v>
      </c>
      <c r="B64" s="69">
        <v>2</v>
      </c>
      <c r="C64" s="69">
        <v>1</v>
      </c>
      <c r="D64" s="69">
        <v>1</v>
      </c>
      <c r="E64" s="16">
        <v>222908000</v>
      </c>
    </row>
    <row r="65" spans="1:5" ht="26.25" x14ac:dyDescent="0.4">
      <c r="A65" s="3" t="s">
        <v>72</v>
      </c>
      <c r="B65" s="69"/>
      <c r="C65" s="69"/>
      <c r="D65" s="69">
        <v>0</v>
      </c>
      <c r="E65" s="16"/>
    </row>
    <row r="66" spans="1:5" ht="26.25" x14ac:dyDescent="0.4">
      <c r="A66" s="3" t="s">
        <v>73</v>
      </c>
      <c r="B66" s="69">
        <v>1</v>
      </c>
      <c r="C66" s="69">
        <v>1</v>
      </c>
      <c r="D66" s="69">
        <v>1</v>
      </c>
      <c r="E66" s="16">
        <v>60020368</v>
      </c>
    </row>
    <row r="67" spans="1:5" ht="26.25" x14ac:dyDescent="0.4">
      <c r="A67" s="3" t="s">
        <v>74</v>
      </c>
      <c r="B67" s="69">
        <v>4</v>
      </c>
      <c r="C67" s="69">
        <v>1</v>
      </c>
      <c r="D67" s="69">
        <v>1</v>
      </c>
      <c r="E67" s="16"/>
    </row>
    <row r="68" spans="1:5" ht="26.25" x14ac:dyDescent="0.4">
      <c r="A68" s="3" t="s">
        <v>75</v>
      </c>
      <c r="B68" s="69"/>
      <c r="C68" s="69"/>
      <c r="D68" s="69">
        <v>0</v>
      </c>
      <c r="E68" s="16"/>
    </row>
    <row r="69" spans="1:5" ht="26.25" x14ac:dyDescent="0.4">
      <c r="A69" s="3" t="s">
        <v>76</v>
      </c>
      <c r="B69" s="69">
        <v>2</v>
      </c>
      <c r="C69" s="69">
        <v>1</v>
      </c>
      <c r="D69" s="69">
        <v>1</v>
      </c>
      <c r="E69" s="16">
        <v>105382000</v>
      </c>
    </row>
    <row r="70" spans="1:5" ht="26.25" x14ac:dyDescent="0.4">
      <c r="A70" s="3" t="s">
        <v>77</v>
      </c>
      <c r="B70" s="69"/>
      <c r="C70" s="69"/>
      <c r="D70" s="69">
        <v>0</v>
      </c>
      <c r="E70" s="16"/>
    </row>
    <row r="71" spans="1:5" ht="26.25" x14ac:dyDescent="0.4">
      <c r="A71" s="3" t="s">
        <v>78</v>
      </c>
      <c r="B71" s="69">
        <v>2</v>
      </c>
      <c r="C71" s="69">
        <v>1</v>
      </c>
      <c r="D71" s="69">
        <v>1</v>
      </c>
      <c r="E71" s="16">
        <v>46022000</v>
      </c>
    </row>
    <row r="72" spans="1:5" ht="26.25" x14ac:dyDescent="0.4">
      <c r="A72" s="3" t="s">
        <v>79</v>
      </c>
      <c r="B72" s="69"/>
      <c r="C72" s="69"/>
      <c r="D72" s="69">
        <v>0</v>
      </c>
      <c r="E72" s="16"/>
    </row>
    <row r="73" spans="1:5" ht="26.25" x14ac:dyDescent="0.4">
      <c r="A73" s="3" t="s">
        <v>80</v>
      </c>
      <c r="B73" s="69"/>
      <c r="C73" s="69"/>
      <c r="D73" s="69">
        <v>0</v>
      </c>
      <c r="E73" s="16"/>
    </row>
    <row r="74" spans="1:5" ht="26.25" x14ac:dyDescent="0.4">
      <c r="A74" s="3" t="s">
        <v>81</v>
      </c>
      <c r="B74" s="69">
        <v>2</v>
      </c>
      <c r="C74" s="69">
        <v>1</v>
      </c>
      <c r="D74" s="69">
        <v>1</v>
      </c>
      <c r="E74" s="16">
        <v>105382000</v>
      </c>
    </row>
    <row r="75" spans="1:5" ht="26.25" x14ac:dyDescent="0.4">
      <c r="A75" s="3" t="s">
        <v>82</v>
      </c>
      <c r="B75" s="69"/>
      <c r="C75" s="69"/>
      <c r="D75" s="69">
        <v>0</v>
      </c>
      <c r="E75" s="16"/>
    </row>
    <row r="76" spans="1:5" ht="26.25" x14ac:dyDescent="0.4">
      <c r="A76" s="3" t="s">
        <v>83</v>
      </c>
      <c r="B76" s="69"/>
      <c r="C76" s="69"/>
      <c r="D76" s="69">
        <v>0</v>
      </c>
      <c r="E76" s="16"/>
    </row>
    <row r="77" spans="1:5" ht="26.25" x14ac:dyDescent="0.4">
      <c r="A77" s="3" t="s">
        <v>84</v>
      </c>
      <c r="B77" s="69">
        <v>2</v>
      </c>
      <c r="C77" s="69">
        <v>1</v>
      </c>
      <c r="D77" s="69">
        <v>1</v>
      </c>
      <c r="E77" s="16">
        <v>128897000</v>
      </c>
    </row>
    <row r="78" spans="1:5" ht="26.25" x14ac:dyDescent="0.4">
      <c r="A78" s="3" t="s">
        <v>85</v>
      </c>
      <c r="B78" s="69"/>
      <c r="C78" s="69">
        <v>1</v>
      </c>
      <c r="D78" s="69">
        <v>1</v>
      </c>
      <c r="E78" s="16"/>
    </row>
    <row r="79" spans="1:5" ht="26.25" x14ac:dyDescent="0.4">
      <c r="A79" s="3" t="s">
        <v>86</v>
      </c>
      <c r="B79" s="69">
        <v>1</v>
      </c>
      <c r="C79" s="69">
        <v>1</v>
      </c>
      <c r="D79" s="69">
        <v>1</v>
      </c>
      <c r="E79" s="16">
        <v>128897000</v>
      </c>
    </row>
    <row r="80" spans="1:5" ht="26.25" x14ac:dyDescent="0.4">
      <c r="A80" s="3" t="s">
        <v>87</v>
      </c>
      <c r="B80" s="69"/>
      <c r="C80" s="69"/>
      <c r="D80" s="69">
        <v>0</v>
      </c>
      <c r="E80" s="16"/>
    </row>
    <row r="81" spans="1:5" ht="26.25" x14ac:dyDescent="0.4">
      <c r="A81" s="3" t="s">
        <v>88</v>
      </c>
      <c r="B81" s="69"/>
      <c r="C81" s="69"/>
      <c r="D81" s="69">
        <v>0</v>
      </c>
      <c r="E81" s="16"/>
    </row>
    <row r="82" spans="1:5" ht="26.25" x14ac:dyDescent="0.4">
      <c r="A82" s="3" t="s">
        <v>89</v>
      </c>
      <c r="B82" s="69">
        <v>1</v>
      </c>
      <c r="C82" s="69">
        <v>1</v>
      </c>
      <c r="D82" s="69">
        <v>1</v>
      </c>
      <c r="E82" s="16">
        <v>46022000</v>
      </c>
    </row>
    <row r="83" spans="1:5" ht="26.25" x14ac:dyDescent="0.4">
      <c r="A83" s="3" t="s">
        <v>90</v>
      </c>
      <c r="B83" s="69"/>
      <c r="C83" s="69">
        <v>1</v>
      </c>
      <c r="D83" s="69">
        <v>1</v>
      </c>
      <c r="E83" s="16"/>
    </row>
    <row r="84" spans="1:5" ht="26.25" x14ac:dyDescent="0.4">
      <c r="A84" s="3" t="s">
        <v>91</v>
      </c>
      <c r="B84" s="69">
        <v>2</v>
      </c>
      <c r="C84" s="69">
        <v>1</v>
      </c>
      <c r="D84" s="69">
        <v>1</v>
      </c>
      <c r="E84" s="16">
        <v>46022000</v>
      </c>
    </row>
    <row r="85" spans="1:5" ht="26.25" x14ac:dyDescent="0.4">
      <c r="A85" s="3" t="s">
        <v>92</v>
      </c>
      <c r="B85" s="69"/>
      <c r="C85" s="69">
        <v>1</v>
      </c>
      <c r="D85" s="69">
        <v>1</v>
      </c>
      <c r="E85" s="16"/>
    </row>
    <row r="86" spans="1:5" ht="26.25" x14ac:dyDescent="0.4">
      <c r="A86" s="3" t="s">
        <v>93</v>
      </c>
      <c r="B86" s="69"/>
      <c r="C86" s="69">
        <v>1</v>
      </c>
      <c r="D86" s="69">
        <v>1</v>
      </c>
      <c r="E86" s="16"/>
    </row>
    <row r="87" spans="1:5" ht="26.25" x14ac:dyDescent="0.4">
      <c r="A87" s="3" t="s">
        <v>94</v>
      </c>
      <c r="B87" s="69"/>
      <c r="C87" s="69">
        <v>1</v>
      </c>
      <c r="D87" s="69">
        <v>1</v>
      </c>
      <c r="E87" s="16"/>
    </row>
    <row r="88" spans="1:5" ht="26.25" x14ac:dyDescent="0.4">
      <c r="A88" s="3" t="s">
        <v>95</v>
      </c>
      <c r="B88" s="69"/>
      <c r="C88" s="69"/>
      <c r="D88" s="69">
        <v>1</v>
      </c>
      <c r="E88" s="16"/>
    </row>
    <row r="89" spans="1:5" ht="26.25" x14ac:dyDescent="0.4">
      <c r="A89" s="3" t="s">
        <v>96</v>
      </c>
      <c r="B89" s="69"/>
      <c r="C89" s="69"/>
      <c r="D89" s="69">
        <v>0</v>
      </c>
      <c r="E89" s="16"/>
    </row>
    <row r="90" spans="1:5" ht="26.25" x14ac:dyDescent="0.4">
      <c r="A90" s="3" t="s">
        <v>97</v>
      </c>
      <c r="B90" s="69">
        <v>1</v>
      </c>
      <c r="C90" s="69">
        <v>1</v>
      </c>
      <c r="D90" s="69">
        <v>1</v>
      </c>
      <c r="E90" s="16">
        <v>46022000</v>
      </c>
    </row>
    <row r="91" spans="1:5" ht="26.25" x14ac:dyDescent="0.4">
      <c r="A91" s="3" t="s">
        <v>98</v>
      </c>
      <c r="B91" s="69"/>
      <c r="C91" s="69">
        <v>1</v>
      </c>
      <c r="D91" s="69">
        <v>1</v>
      </c>
      <c r="E91" s="16"/>
    </row>
    <row r="92" spans="1:5" ht="26.25" x14ac:dyDescent="0.4">
      <c r="A92" s="3" t="s">
        <v>99</v>
      </c>
      <c r="B92" s="69"/>
      <c r="C92" s="69">
        <v>1</v>
      </c>
      <c r="D92" s="69">
        <v>1</v>
      </c>
      <c r="E92" s="16"/>
    </row>
    <row r="93" spans="1:5" ht="26.25" x14ac:dyDescent="0.4">
      <c r="A93" s="3" t="s">
        <v>100</v>
      </c>
      <c r="B93" s="69"/>
      <c r="C93" s="69"/>
      <c r="D93" s="69">
        <v>1</v>
      </c>
      <c r="E93" s="16"/>
    </row>
    <row r="94" spans="1:5" ht="26.25" x14ac:dyDescent="0.4">
      <c r="A94" s="3" t="s">
        <v>102</v>
      </c>
      <c r="B94" s="69"/>
      <c r="C94" s="69"/>
      <c r="D94" s="69">
        <v>0</v>
      </c>
      <c r="E94" s="16"/>
    </row>
    <row r="95" spans="1:5" ht="26.25" x14ac:dyDescent="0.4">
      <c r="A95" s="3" t="s">
        <v>101</v>
      </c>
      <c r="B95" s="69"/>
      <c r="C95" s="69">
        <v>1</v>
      </c>
      <c r="D95" s="69">
        <v>1</v>
      </c>
      <c r="E95" s="16"/>
    </row>
    <row r="96" spans="1:5" ht="26.25" x14ac:dyDescent="0.4">
      <c r="A96" s="3" t="s">
        <v>103</v>
      </c>
      <c r="B96" s="69"/>
      <c r="C96" s="69">
        <v>1</v>
      </c>
      <c r="D96" s="69">
        <v>1</v>
      </c>
      <c r="E96" s="16"/>
    </row>
    <row r="97" spans="1:5" ht="26.25" x14ac:dyDescent="0.4">
      <c r="A97" s="4" t="s">
        <v>3</v>
      </c>
      <c r="B97" s="70"/>
      <c r="C97" s="70"/>
      <c r="D97" s="70">
        <v>0</v>
      </c>
      <c r="E97" s="16"/>
    </row>
    <row r="98" spans="1:5" ht="26.25" x14ac:dyDescent="0.4">
      <c r="A98" s="3" t="s">
        <v>104</v>
      </c>
      <c r="B98" s="69"/>
      <c r="C98" s="69"/>
      <c r="D98" s="69">
        <v>0</v>
      </c>
      <c r="E98" s="16"/>
    </row>
    <row r="99" spans="1:5" ht="26.25" x14ac:dyDescent="0.4">
      <c r="A99" s="3" t="s">
        <v>105</v>
      </c>
      <c r="B99" s="69"/>
      <c r="C99" s="69">
        <v>1</v>
      </c>
      <c r="D99" s="69">
        <v>1</v>
      </c>
      <c r="E99" s="16"/>
    </row>
    <row r="100" spans="1:5" ht="26.25" x14ac:dyDescent="0.4">
      <c r="A100" s="3" t="s">
        <v>2</v>
      </c>
      <c r="B100" s="69"/>
      <c r="C100" s="69"/>
      <c r="D100" s="69">
        <v>0</v>
      </c>
      <c r="E100" s="16"/>
    </row>
    <row r="101" spans="1:5" ht="26.25" x14ac:dyDescent="0.4">
      <c r="A101" s="3" t="s">
        <v>127</v>
      </c>
      <c r="B101" s="69">
        <v>1</v>
      </c>
      <c r="C101" s="69">
        <v>1</v>
      </c>
      <c r="D101" s="69">
        <v>1</v>
      </c>
      <c r="E101" s="16">
        <v>105380000</v>
      </c>
    </row>
    <row r="102" spans="1:5" ht="26.25" x14ac:dyDescent="0.4">
      <c r="A102" s="3" t="s">
        <v>106</v>
      </c>
      <c r="B102" s="69"/>
      <c r="C102" s="69">
        <v>1</v>
      </c>
      <c r="D102" s="69">
        <v>1</v>
      </c>
      <c r="E102" s="16"/>
    </row>
    <row r="103" spans="1:5" ht="26.25" x14ac:dyDescent="0.4">
      <c r="A103" s="3" t="s">
        <v>107</v>
      </c>
      <c r="B103" s="69"/>
      <c r="C103" s="69"/>
      <c r="D103" s="69">
        <v>0</v>
      </c>
      <c r="E103" s="16"/>
    </row>
    <row r="104" spans="1:5" ht="26.25" x14ac:dyDescent="0.4">
      <c r="A104" s="3" t="s">
        <v>108</v>
      </c>
      <c r="B104" s="69"/>
      <c r="C104" s="69">
        <v>1</v>
      </c>
      <c r="D104" s="69">
        <v>1</v>
      </c>
      <c r="E104" s="16"/>
    </row>
    <row r="105" spans="1:5" ht="26.25" x14ac:dyDescent="0.4">
      <c r="A105" s="3" t="s">
        <v>109</v>
      </c>
      <c r="B105" s="69"/>
      <c r="C105" s="69"/>
      <c r="D105" s="69">
        <v>0</v>
      </c>
      <c r="E105" s="16"/>
    </row>
    <row r="106" spans="1:5" ht="26.25" x14ac:dyDescent="0.4">
      <c r="A106" s="3" t="s">
        <v>110</v>
      </c>
      <c r="B106" s="69"/>
      <c r="C106" s="69"/>
      <c r="D106" s="69">
        <v>0</v>
      </c>
      <c r="E106" s="16"/>
    </row>
    <row r="107" spans="1:5" ht="26.25" x14ac:dyDescent="0.4">
      <c r="A107" s="3" t="s">
        <v>111</v>
      </c>
      <c r="B107" s="69">
        <v>1</v>
      </c>
      <c r="C107" s="69">
        <v>1</v>
      </c>
      <c r="D107" s="69">
        <v>1</v>
      </c>
      <c r="E107" s="16">
        <v>280492000</v>
      </c>
    </row>
    <row r="108" spans="1:5" ht="26.25" x14ac:dyDescent="0.4">
      <c r="A108" s="3" t="s">
        <v>112</v>
      </c>
      <c r="B108" s="69"/>
      <c r="C108" s="69">
        <v>1</v>
      </c>
      <c r="D108" s="69">
        <v>1</v>
      </c>
      <c r="E108" s="16"/>
    </row>
    <row r="109" spans="1:5" ht="26.25" x14ac:dyDescent="0.4">
      <c r="A109" s="3" t="s">
        <v>1</v>
      </c>
      <c r="B109" s="69"/>
      <c r="C109" s="69">
        <v>1</v>
      </c>
      <c r="D109" s="69">
        <v>1</v>
      </c>
      <c r="E109" s="16"/>
    </row>
    <row r="110" spans="1:5" ht="26.25" x14ac:dyDescent="0.4">
      <c r="A110" s="3" t="s">
        <v>113</v>
      </c>
      <c r="B110" s="69"/>
      <c r="C110" s="69">
        <v>1</v>
      </c>
      <c r="D110" s="69">
        <v>1</v>
      </c>
      <c r="E110" s="16"/>
    </row>
    <row r="111" spans="1:5" ht="26.25" x14ac:dyDescent="0.4">
      <c r="A111" s="3" t="s">
        <v>114</v>
      </c>
      <c r="B111" s="69">
        <v>3</v>
      </c>
      <c r="C111" s="69">
        <v>1</v>
      </c>
      <c r="D111" s="69">
        <v>1</v>
      </c>
      <c r="E111" s="16"/>
    </row>
    <row r="112" spans="1:5" ht="26.25" x14ac:dyDescent="0.4">
      <c r="A112" s="3" t="s">
        <v>115</v>
      </c>
      <c r="B112" s="69"/>
      <c r="C112" s="69">
        <v>1</v>
      </c>
      <c r="D112" s="69">
        <v>1</v>
      </c>
      <c r="E112" s="16"/>
    </row>
    <row r="113" spans="1:5" ht="26.25" x14ac:dyDescent="0.4">
      <c r="A113" s="3" t="s">
        <v>116</v>
      </c>
      <c r="B113" s="69"/>
      <c r="C113" s="69"/>
      <c r="D113" s="69">
        <v>1</v>
      </c>
      <c r="E113" s="16"/>
    </row>
    <row r="114" spans="1:5" ht="26.25" x14ac:dyDescent="0.4">
      <c r="A114" s="1" t="s">
        <v>117</v>
      </c>
      <c r="B114" s="71"/>
      <c r="C114" s="71">
        <v>1</v>
      </c>
      <c r="D114" s="71">
        <v>1</v>
      </c>
      <c r="E114" s="16"/>
    </row>
    <row r="115" spans="1:5" ht="26.25" x14ac:dyDescent="0.4">
      <c r="A115" s="1" t="s">
        <v>118</v>
      </c>
      <c r="B115" s="71">
        <v>1</v>
      </c>
      <c r="C115" s="71">
        <v>1</v>
      </c>
      <c r="D115" s="71">
        <v>1</v>
      </c>
      <c r="E115" s="16">
        <v>38790000</v>
      </c>
    </row>
    <row r="116" spans="1:5" ht="26.25" x14ac:dyDescent="0.4">
      <c r="A116" s="1" t="s">
        <v>119</v>
      </c>
      <c r="B116" s="71">
        <v>1</v>
      </c>
      <c r="C116" s="71">
        <v>1</v>
      </c>
      <c r="D116" s="71">
        <v>1</v>
      </c>
      <c r="E116" s="16">
        <v>60020368</v>
      </c>
    </row>
    <row r="117" spans="1:5" ht="26.25" x14ac:dyDescent="0.4">
      <c r="A117" s="1" t="s">
        <v>120</v>
      </c>
      <c r="B117" s="71"/>
      <c r="C117" s="71">
        <v>1</v>
      </c>
      <c r="D117" s="71">
        <v>1</v>
      </c>
      <c r="E117" s="12"/>
    </row>
    <row r="118" spans="1:5" ht="27" thickBot="1" x14ac:dyDescent="0.45">
      <c r="A118" s="2" t="s">
        <v>121</v>
      </c>
      <c r="B118" s="72"/>
      <c r="C118" s="72"/>
      <c r="D118" s="72">
        <v>0</v>
      </c>
      <c r="E118" s="87"/>
    </row>
  </sheetData>
  <mergeCells count="6">
    <mergeCell ref="E2:E3"/>
    <mergeCell ref="A2:A3"/>
    <mergeCell ref="A1:D1"/>
    <mergeCell ref="C2:C3"/>
    <mergeCell ref="D2:D3"/>
    <mergeCell ref="B2:B3"/>
  </mergeCells>
  <pageMargins left="0.7" right="0.7" top="0.75" bottom="0.75" header="0.3" footer="0.3"/>
  <pageSetup scale="65" fitToHeight="0" orientation="landscape" horizontalDpi="1200" verticalDpi="1200" r:id="rId1"/>
  <headerFooter>
    <oddHeader>&amp;C&amp;"-,Bold"&amp;20Grouping Analysis&amp;R&amp;"-,Bold"&amp;14BSC Planning Document</oddHeader>
    <oddFooter>&amp;L&amp;"-,Bold"&amp;14Working Document&amp;C&amp;"-,Bold"&amp;14&amp;P&amp;R&amp;"-,Bold"&amp;14&amp;D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B018C-E003-41C1-AF2D-3FBB33F61375}">
  <sheetPr>
    <pageSetUpPr fitToPage="1"/>
  </sheetPr>
  <dimension ref="A1:R127"/>
  <sheetViews>
    <sheetView zoomScale="60" zoomScaleNormal="60" workbookViewId="0">
      <selection activeCell="G5" sqref="G5"/>
    </sheetView>
  </sheetViews>
  <sheetFormatPr defaultRowHeight="26.25" x14ac:dyDescent="0.4"/>
  <cols>
    <col min="1" max="1" width="34.85546875" style="24" customWidth="1"/>
    <col min="2" max="4" width="27.42578125" style="24" customWidth="1"/>
    <col min="5" max="5" width="23.7109375" style="23" customWidth="1"/>
    <col min="6" max="6" width="22.140625" style="23" customWidth="1"/>
    <col min="7" max="7" width="25.85546875" style="24" customWidth="1"/>
    <col min="8" max="8" width="24.85546875" style="24" customWidth="1"/>
    <col min="9" max="9" width="26.5703125" style="24" customWidth="1"/>
    <col min="10" max="10" width="26.140625" style="24" customWidth="1"/>
    <col min="11" max="11" width="25.28515625" style="24" customWidth="1"/>
    <col min="12" max="12" width="25.85546875" style="24" customWidth="1"/>
    <col min="13" max="13" width="24.85546875" style="24" customWidth="1"/>
    <col min="14" max="14" width="26.5703125" style="24" customWidth="1"/>
    <col min="15" max="15" width="25" style="24" customWidth="1"/>
    <col min="16" max="16" width="25.42578125" style="24" customWidth="1"/>
    <col min="17" max="17" width="26.7109375" style="24" customWidth="1"/>
    <col min="18" max="18" width="24" style="24" customWidth="1"/>
    <col min="19" max="16384" width="9.140625" style="24"/>
  </cols>
  <sheetData>
    <row r="1" spans="1:18" ht="27" thickBot="1" x14ac:dyDescent="0.45">
      <c r="A1" s="352" t="s">
        <v>135</v>
      </c>
      <c r="B1" s="353"/>
      <c r="C1" s="23"/>
      <c r="D1" s="23"/>
    </row>
    <row r="2" spans="1:18" x14ac:dyDescent="0.4">
      <c r="A2" s="25" t="s">
        <v>15</v>
      </c>
      <c r="B2" s="26">
        <v>0.04</v>
      </c>
      <c r="C2" s="27"/>
      <c r="D2" s="27"/>
      <c r="F2" s="28"/>
    </row>
    <row r="3" spans="1:18" x14ac:dyDescent="0.4">
      <c r="A3" s="29" t="s">
        <v>131</v>
      </c>
      <c r="B3" s="30">
        <v>0.15</v>
      </c>
      <c r="C3" s="27"/>
      <c r="D3" s="27"/>
      <c r="F3" s="28"/>
    </row>
    <row r="4" spans="1:18" x14ac:dyDescent="0.4">
      <c r="A4" s="29" t="s">
        <v>133</v>
      </c>
      <c r="B4" s="31">
        <v>2.4</v>
      </c>
      <c r="C4" s="32"/>
      <c r="D4" s="32"/>
      <c r="F4" s="28"/>
    </row>
    <row r="5" spans="1:18" ht="27" thickBot="1" x14ac:dyDescent="0.45">
      <c r="A5" s="33" t="s">
        <v>134</v>
      </c>
      <c r="B5" s="34">
        <v>0.08</v>
      </c>
      <c r="C5" s="27"/>
      <c r="D5" s="27"/>
      <c r="F5" s="28"/>
    </row>
    <row r="6" spans="1:18" x14ac:dyDescent="0.4">
      <c r="A6" s="35"/>
      <c r="B6" s="27"/>
      <c r="C6" s="27"/>
      <c r="D6" s="27"/>
      <c r="F6" s="28"/>
    </row>
    <row r="7" spans="1:18" ht="27" thickBot="1" x14ac:dyDescent="0.45">
      <c r="C7" s="23"/>
      <c r="D7" s="23"/>
      <c r="H7" s="36">
        <f>1.08</f>
        <v>1.08</v>
      </c>
      <c r="I7" s="36">
        <f>H7*1.08</f>
        <v>1.1664000000000001</v>
      </c>
      <c r="J7" s="36">
        <f t="shared" ref="J7:Q7" si="0">I7*1.12</f>
        <v>1.3063680000000002</v>
      </c>
      <c r="K7" s="36">
        <f t="shared" si="0"/>
        <v>1.4631321600000005</v>
      </c>
      <c r="L7" s="36">
        <f t="shared" si="0"/>
        <v>1.6387080192000008</v>
      </c>
      <c r="M7" s="36">
        <f t="shared" si="0"/>
        <v>1.8353529815040011</v>
      </c>
      <c r="N7" s="36">
        <f t="shared" si="0"/>
        <v>2.0555953392844812</v>
      </c>
      <c r="O7" s="36">
        <f t="shared" si="0"/>
        <v>2.3022667799986194</v>
      </c>
      <c r="P7" s="36">
        <f t="shared" si="0"/>
        <v>2.5785387935984541</v>
      </c>
      <c r="Q7" s="36">
        <f t="shared" si="0"/>
        <v>2.887963448830269</v>
      </c>
    </row>
    <row r="8" spans="1:18" s="42" customFormat="1" ht="51.75" customHeight="1" x14ac:dyDescent="0.4">
      <c r="A8" s="37" t="s">
        <v>128</v>
      </c>
      <c r="B8" s="38" t="s">
        <v>132</v>
      </c>
      <c r="C8" s="38" t="s">
        <v>147</v>
      </c>
      <c r="D8" s="38" t="s">
        <v>14</v>
      </c>
      <c r="E8" s="39" t="s">
        <v>129</v>
      </c>
      <c r="F8" s="39" t="s">
        <v>130</v>
      </c>
      <c r="G8" s="38" t="s">
        <v>136</v>
      </c>
      <c r="H8" s="38" t="s">
        <v>137</v>
      </c>
      <c r="I8" s="38" t="s">
        <v>138</v>
      </c>
      <c r="J8" s="38" t="s">
        <v>139</v>
      </c>
      <c r="K8" s="38" t="s">
        <v>140</v>
      </c>
      <c r="L8" s="38" t="s">
        <v>141</v>
      </c>
      <c r="M8" s="40" t="s">
        <v>142</v>
      </c>
      <c r="N8" s="40" t="s">
        <v>143</v>
      </c>
      <c r="O8" s="40" t="s">
        <v>144</v>
      </c>
      <c r="P8" s="40" t="s">
        <v>145</v>
      </c>
      <c r="Q8" s="40" t="s">
        <v>146</v>
      </c>
      <c r="R8" s="41" t="s">
        <v>148</v>
      </c>
    </row>
    <row r="9" spans="1:18" x14ac:dyDescent="0.4">
      <c r="A9" s="43" t="s">
        <v>122</v>
      </c>
      <c r="B9" s="44">
        <f t="shared" ref="B9:B40" si="1">NPV($B$2,G9:Q9)</f>
        <v>92644043.209308863</v>
      </c>
      <c r="C9" s="45">
        <v>132874.17000000001</v>
      </c>
      <c r="D9" s="46">
        <v>1061</v>
      </c>
      <c r="E9" s="47">
        <v>530555.42000000004</v>
      </c>
      <c r="F9" s="47">
        <f>E9*0.1</f>
        <v>53055.542000000009</v>
      </c>
      <c r="G9" s="47">
        <v>17362409.586130038</v>
      </c>
      <c r="H9" s="48">
        <f>5830*($B$4)</f>
        <v>13992</v>
      </c>
      <c r="I9" s="48">
        <f>553410*($B$4)</f>
        <v>1328184</v>
      </c>
      <c r="J9" s="48">
        <f>821561*($B$4)</f>
        <v>1971746.4</v>
      </c>
      <c r="K9" s="48">
        <f>3516468*($B$4)</f>
        <v>8439523.1999999993</v>
      </c>
      <c r="L9" s="48">
        <f>9539221*($B$4)*$L$7</f>
        <v>37516795.079090521</v>
      </c>
      <c r="M9" s="48">
        <f>0*($B$4)*$M$7</f>
        <v>0</v>
      </c>
      <c r="N9" s="48">
        <f>452314*($B$4)*$N$7</f>
        <v>2231458.9207034898</v>
      </c>
      <c r="O9" s="48">
        <f>186968*($B$4)*$O$7</f>
        <v>1033080.5167746765</v>
      </c>
      <c r="P9" s="48">
        <f>1939098*($B$4)*$P$7</f>
        <v>12000094.60221402</v>
      </c>
      <c r="Q9" s="48">
        <f>5779326*($B$4)*$Q$7</f>
        <v>40057157.392498665</v>
      </c>
      <c r="R9" s="49">
        <f>SUM(M9:Q9)</f>
        <v>55321791.43219085</v>
      </c>
    </row>
    <row r="10" spans="1:18" x14ac:dyDescent="0.4">
      <c r="A10" s="50" t="s">
        <v>17</v>
      </c>
      <c r="B10" s="51">
        <f t="shared" si="1"/>
        <v>26555457.181206096</v>
      </c>
      <c r="C10" s="52">
        <v>71566.009999999995</v>
      </c>
      <c r="D10" s="53">
        <v>374</v>
      </c>
      <c r="E10" s="54">
        <v>87471.279999999984</v>
      </c>
      <c r="F10" s="54">
        <f t="shared" ref="F10:F73" si="2">E10*0.1</f>
        <v>8747.1279999999988</v>
      </c>
      <c r="G10" s="47">
        <v>4682969.4255148387</v>
      </c>
      <c r="H10" s="55">
        <f>0*($B$4)</f>
        <v>0</v>
      </c>
      <c r="I10" s="55">
        <f>1827929*($B$4)</f>
        <v>4387029.5999999996</v>
      </c>
      <c r="J10" s="55">
        <f>105130*($B$4)</f>
        <v>252312</v>
      </c>
      <c r="K10" s="55">
        <f>862018*($B$4)</f>
        <v>2068843.2</v>
      </c>
      <c r="L10" s="55">
        <f>4464844*($B$4)*$L$7</f>
        <v>17559781.601464819</v>
      </c>
      <c r="M10" s="55">
        <f>0*($B$4)*$M$7</f>
        <v>0</v>
      </c>
      <c r="N10" s="55">
        <f>0*($B$4)*$N$7</f>
        <v>0</v>
      </c>
      <c r="O10" s="55">
        <f>28472*($B$4)*$O$7</f>
        <v>157320.33542428966</v>
      </c>
      <c r="P10" s="55">
        <f>487005*($B$4)*$P$7</f>
        <v>3013827.0844233963</v>
      </c>
      <c r="Q10" s="55">
        <f>47113*($B$4)*$Q$7</f>
        <v>326545.49271537713</v>
      </c>
      <c r="R10" s="56">
        <f t="shared" ref="R10:R73" si="3">SUM(M10:Q10)</f>
        <v>3497692.9125630632</v>
      </c>
    </row>
    <row r="11" spans="1:18" x14ac:dyDescent="0.4">
      <c r="A11" s="50" t="s">
        <v>18</v>
      </c>
      <c r="B11" s="51">
        <f t="shared" si="1"/>
        <v>107734295.26178366</v>
      </c>
      <c r="C11" s="52">
        <v>2219642.16</v>
      </c>
      <c r="D11" s="53">
        <v>1056</v>
      </c>
      <c r="E11" s="54">
        <v>448017.62000000005</v>
      </c>
      <c r="F11" s="54">
        <f t="shared" si="2"/>
        <v>44801.76200000001</v>
      </c>
      <c r="G11" s="47">
        <v>38895900.45166637</v>
      </c>
      <c r="H11" s="55">
        <f>0*($B$4)</f>
        <v>0</v>
      </c>
      <c r="I11" s="55">
        <f>949598*($B$4)</f>
        <v>2279035.1999999997</v>
      </c>
      <c r="J11" s="55">
        <f>477272*($B$4)</f>
        <v>1145452.8</v>
      </c>
      <c r="K11" s="55">
        <f>569695*($B$4)</f>
        <v>1367268</v>
      </c>
      <c r="L11" s="55">
        <f>3399437*($B$4)*$L$7</f>
        <v>13369643.214396464</v>
      </c>
      <c r="M11" s="55">
        <f>1710900*($B$4)*$M$7</f>
        <v>7536252.9985324694</v>
      </c>
      <c r="N11" s="55">
        <f>0*($B$4)*$N$7</f>
        <v>0</v>
      </c>
      <c r="O11" s="55">
        <f>5357270*($B$4)*$O$7</f>
        <v>29601275.405959688</v>
      </c>
      <c r="P11" s="55">
        <f>1312071*($B$4)*$P$7</f>
        <v>8119742.336293241</v>
      </c>
      <c r="Q11" s="55">
        <f>5248269*($B$4)*$Q$7</f>
        <v>36376341.699909568</v>
      </c>
      <c r="R11" s="56">
        <f t="shared" si="3"/>
        <v>81633612.440694958</v>
      </c>
    </row>
    <row r="12" spans="1:18" x14ac:dyDescent="0.4">
      <c r="A12" s="50" t="s">
        <v>19</v>
      </c>
      <c r="B12" s="51">
        <f t="shared" si="1"/>
        <v>23563560.768301394</v>
      </c>
      <c r="C12" s="52">
        <v>54905.84</v>
      </c>
      <c r="D12" s="53">
        <v>317</v>
      </c>
      <c r="E12" s="54">
        <v>86013.66</v>
      </c>
      <c r="F12" s="54">
        <f t="shared" si="2"/>
        <v>8601.366</v>
      </c>
      <c r="G12" s="47">
        <v>10263825.143597057</v>
      </c>
      <c r="H12" s="55">
        <f>198754*($B$4)</f>
        <v>477009.6</v>
      </c>
      <c r="I12" s="55">
        <f>36914*($B$4)</f>
        <v>88593.599999999991</v>
      </c>
      <c r="J12" s="55">
        <f>293189*($B$4)</f>
        <v>703653.6</v>
      </c>
      <c r="K12" s="55">
        <f>586731*($B$4)</f>
        <v>1408154.4</v>
      </c>
      <c r="L12" s="55">
        <f>1144298*($B$4)*$L$7</f>
        <v>4500408.741490853</v>
      </c>
      <c r="M12" s="55">
        <f>341378*($B$4)*$M$7</f>
        <v>1503717.9122876949</v>
      </c>
      <c r="N12" s="55">
        <f>115411*($B$4)*$N$7</f>
        <v>569371.952885187</v>
      </c>
      <c r="O12" s="55">
        <f>272919*($B$4)*$O$7</f>
        <v>1507997.6335930636</v>
      </c>
      <c r="P12" s="55">
        <f>0*($B$4)*$P$7</f>
        <v>0</v>
      </c>
      <c r="Q12" s="55">
        <f>1164035*($B$4)*$Q$7</f>
        <v>8068057.2795819417</v>
      </c>
      <c r="R12" s="56">
        <f t="shared" si="3"/>
        <v>11649144.778347887</v>
      </c>
    </row>
    <row r="13" spans="1:18" x14ac:dyDescent="0.4">
      <c r="A13" s="50" t="s">
        <v>164</v>
      </c>
      <c r="B13" s="51">
        <f t="shared" si="1"/>
        <v>63765021.135897964</v>
      </c>
      <c r="C13" s="52">
        <v>64734.62</v>
      </c>
      <c r="D13" s="53">
        <v>257</v>
      </c>
      <c r="E13" s="54">
        <v>199588.83000000002</v>
      </c>
      <c r="F13" s="54">
        <f t="shared" si="2"/>
        <v>19958.883000000002</v>
      </c>
      <c r="G13" s="47">
        <v>0</v>
      </c>
      <c r="H13" s="55">
        <f>1768*($B$4)</f>
        <v>4243.2</v>
      </c>
      <c r="I13" s="55">
        <f>661510*($B$4)</f>
        <v>1587624</v>
      </c>
      <c r="J13" s="55">
        <f>667866*($B$4)</f>
        <v>1602878.4</v>
      </c>
      <c r="K13" s="55">
        <f>243940*($B$4)</f>
        <v>585456</v>
      </c>
      <c r="L13" s="55">
        <f>1552861*($B$4)*$L$7</f>
        <v>6107245.856167038</v>
      </c>
      <c r="M13" s="55">
        <f>12129465*($B$4)*$M$7</f>
        <v>53428439.404316224</v>
      </c>
      <c r="N13" s="55">
        <f>72929*($B$4)*$N$7</f>
        <v>359790.02999682707</v>
      </c>
      <c r="O13" s="55">
        <f>31259*($B$4)*$O$7</f>
        <v>172719.7374623444</v>
      </c>
      <c r="P13" s="55">
        <f>54725*($B$4)*$P$7</f>
        <v>338665.28515122097</v>
      </c>
      <c r="Q13" s="55">
        <f>3211113*($B$4)*$Q$7</f>
        <v>22256584.737752907</v>
      </c>
      <c r="R13" s="56">
        <f t="shared" si="3"/>
        <v>76556199.194679528</v>
      </c>
    </row>
    <row r="14" spans="1:18" x14ac:dyDescent="0.4">
      <c r="A14" s="50" t="s">
        <v>20</v>
      </c>
      <c r="B14" s="51">
        <f t="shared" si="1"/>
        <v>130673779.14911298</v>
      </c>
      <c r="C14" s="52">
        <v>345591.86</v>
      </c>
      <c r="D14" s="53">
        <v>926</v>
      </c>
      <c r="E14" s="54">
        <v>553821.73</v>
      </c>
      <c r="F14" s="54">
        <f t="shared" si="2"/>
        <v>55382.173000000003</v>
      </c>
      <c r="G14" s="47">
        <v>29095732.017142102</v>
      </c>
      <c r="H14" s="55">
        <f>0*($B$4)</f>
        <v>0</v>
      </c>
      <c r="I14" s="55">
        <f>63416*($B$4)</f>
        <v>152198.39999999999</v>
      </c>
      <c r="J14" s="55">
        <f>0*($B$4)</f>
        <v>0</v>
      </c>
      <c r="K14" s="55">
        <f>71616*($B$4)</f>
        <v>171878.39999999999</v>
      </c>
      <c r="L14" s="55">
        <f>16166245*($B$4)*$L$7</f>
        <v>63580212.772444598</v>
      </c>
      <c r="M14" s="55">
        <f>1491008*($B$4)*$M$7</f>
        <v>6567662.3477911614</v>
      </c>
      <c r="N14" s="55">
        <f>99279*($B$4)*$N$7</f>
        <v>489785.87925317755</v>
      </c>
      <c r="O14" s="55">
        <f>2756808*($B$4)*$O$7</f>
        <v>15232577.945362642</v>
      </c>
      <c r="P14" s="55">
        <f>150331*($B$4)*$P$7</f>
        <v>930322.35691307799</v>
      </c>
      <c r="Q14" s="55">
        <f>7883207*($B$4)*$Q$7</f>
        <v>54639392.821351007</v>
      </c>
      <c r="R14" s="56">
        <f t="shared" si="3"/>
        <v>77859741.350671068</v>
      </c>
    </row>
    <row r="15" spans="1:18" x14ac:dyDescent="0.4">
      <c r="A15" s="50" t="s">
        <v>21</v>
      </c>
      <c r="B15" s="51">
        <f t="shared" si="1"/>
        <v>73122731.157055244</v>
      </c>
      <c r="C15" s="52">
        <v>48884.02</v>
      </c>
      <c r="D15" s="53">
        <v>664</v>
      </c>
      <c r="E15" s="54">
        <v>193629.72</v>
      </c>
      <c r="F15" s="54">
        <f t="shared" si="2"/>
        <v>19362.972000000002</v>
      </c>
      <c r="G15" s="47">
        <v>27126380.53792442</v>
      </c>
      <c r="H15" s="55">
        <f>1160425*($B$4)</f>
        <v>2785020</v>
      </c>
      <c r="I15" s="55">
        <f>1950363*($B$4)</f>
        <v>4680871.2</v>
      </c>
      <c r="J15" s="55">
        <f>155825*($B$4)</f>
        <v>373980</v>
      </c>
      <c r="K15" s="55">
        <f>1484169*($B$4)</f>
        <v>3562005.6</v>
      </c>
      <c r="L15" s="55">
        <f>10660628*($B$4)*$L$7</f>
        <v>41927175.823939353</v>
      </c>
      <c r="M15" s="55">
        <f>0*($B$4)*$M$7</f>
        <v>0</v>
      </c>
      <c r="N15" s="55">
        <f>0*($B$4)*$N$7</f>
        <v>0</v>
      </c>
      <c r="O15" s="55">
        <f>0*($B$4)*$O$7</f>
        <v>0</v>
      </c>
      <c r="P15" s="55">
        <f>0*($B$4)*$P$7</f>
        <v>0</v>
      </c>
      <c r="Q15" s="55">
        <f>870761*($B$4)*$Q$7</f>
        <v>6035342.257600545</v>
      </c>
      <c r="R15" s="56">
        <f t="shared" si="3"/>
        <v>6035342.257600545</v>
      </c>
    </row>
    <row r="16" spans="1:18" x14ac:dyDescent="0.4">
      <c r="A16" s="50" t="s">
        <v>22</v>
      </c>
      <c r="B16" s="51">
        <f t="shared" si="1"/>
        <v>31953519.996929094</v>
      </c>
      <c r="C16" s="52">
        <v>87216.63</v>
      </c>
      <c r="D16" s="53">
        <v>468</v>
      </c>
      <c r="E16" s="54">
        <v>113884.89999999998</v>
      </c>
      <c r="F16" s="54">
        <f t="shared" si="2"/>
        <v>11388.489999999998</v>
      </c>
      <c r="G16" s="47">
        <v>6618945.0616260245</v>
      </c>
      <c r="H16" s="55">
        <f>0*($B$4)</f>
        <v>0</v>
      </c>
      <c r="I16" s="55">
        <f>0*($B$4)</f>
        <v>0</v>
      </c>
      <c r="J16" s="55">
        <f>144841*($B$4)</f>
        <v>347618.39999999997</v>
      </c>
      <c r="K16" s="55">
        <f>886339*($B$4)</f>
        <v>2127213.6</v>
      </c>
      <c r="L16" s="55">
        <f>310317*($B$4)*$L$7</f>
        <v>1220445.4953458079</v>
      </c>
      <c r="M16" s="55">
        <f>666404*($B$4)*$M$7</f>
        <v>2935407.7638868615</v>
      </c>
      <c r="N16" s="55">
        <f>0*($B$4)*$N$7</f>
        <v>0</v>
      </c>
      <c r="O16" s="55">
        <f>894305*($B$4)*$O$7</f>
        <v>4941428.8624479966</v>
      </c>
      <c r="P16" s="55">
        <f>0*($B$4)*$P$7</f>
        <v>0</v>
      </c>
      <c r="Q16" s="55">
        <f>3748425*($B$4)*$Q$7</f>
        <v>25980754.537635844</v>
      </c>
      <c r="R16" s="56">
        <f t="shared" si="3"/>
        <v>33857591.163970701</v>
      </c>
    </row>
    <row r="17" spans="1:18" x14ac:dyDescent="0.4">
      <c r="A17" s="50" t="s">
        <v>23</v>
      </c>
      <c r="B17" s="51">
        <f t="shared" si="1"/>
        <v>25110781.845790528</v>
      </c>
      <c r="C17" s="52">
        <v>47168.06</v>
      </c>
      <c r="D17" s="53">
        <v>462</v>
      </c>
      <c r="E17" s="54">
        <v>109167.73999999998</v>
      </c>
      <c r="F17" s="54">
        <f t="shared" si="2"/>
        <v>10916.773999999998</v>
      </c>
      <c r="G17" s="47">
        <v>9711565.8221190125</v>
      </c>
      <c r="H17" s="55">
        <f>0*($B$4)</f>
        <v>0</v>
      </c>
      <c r="I17" s="55">
        <f>0*($B$4)</f>
        <v>0</v>
      </c>
      <c r="J17" s="55">
        <f>807439*($B$4)</f>
        <v>1937853.5999999999</v>
      </c>
      <c r="K17" s="55">
        <f>877708*($B$4)</f>
        <v>2106499.1999999997</v>
      </c>
      <c r="L17" s="55">
        <f>721283*($B$4)*$L$7</f>
        <v>2836733.3669103216</v>
      </c>
      <c r="M17" s="55">
        <f>1147328*($B$4)*$M$7</f>
        <v>5053804.4773512539</v>
      </c>
      <c r="N17" s="55">
        <f>86324*($B$4)*$N$7</f>
        <v>425873.30896414455</v>
      </c>
      <c r="O17" s="55">
        <f>1256177*($B$4)*$O$7</f>
        <v>6940930.9845559811</v>
      </c>
      <c r="P17" s="55">
        <f>18564*($B$4)*$P$7</f>
        <v>114883.18599446808</v>
      </c>
      <c r="Q17" s="55">
        <f>230343*($B$4)*$Q$7</f>
        <v>1596533.1952653853</v>
      </c>
      <c r="R17" s="56">
        <f t="shared" si="3"/>
        <v>14132025.152131233</v>
      </c>
    </row>
    <row r="18" spans="1:18" x14ac:dyDescent="0.4">
      <c r="A18" s="50" t="s">
        <v>24</v>
      </c>
      <c r="B18" s="51">
        <f t="shared" si="1"/>
        <v>37704611.390094437</v>
      </c>
      <c r="C18" s="52">
        <v>105115.27</v>
      </c>
      <c r="D18" s="53">
        <v>471</v>
      </c>
      <c r="E18" s="54">
        <v>161864.19</v>
      </c>
      <c r="F18" s="54">
        <f t="shared" si="2"/>
        <v>16186.419000000002</v>
      </c>
      <c r="G18" s="47">
        <v>13860246.407817237</v>
      </c>
      <c r="H18" s="55">
        <f>31927*($B$4)</f>
        <v>76624.800000000003</v>
      </c>
      <c r="I18" s="55">
        <f>636374*($B$4)</f>
        <v>1527297.5999999999</v>
      </c>
      <c r="J18" s="55">
        <f>829177*($B$4)</f>
        <v>1990024.7999999998</v>
      </c>
      <c r="K18" s="55">
        <f>107594*($B$4)</f>
        <v>258225.59999999998</v>
      </c>
      <c r="L18" s="55">
        <f>4073557*($B$4)*$L$7</f>
        <v>16020889.254163912</v>
      </c>
      <c r="M18" s="55">
        <f>0*($B$4)*$M$7</f>
        <v>0</v>
      </c>
      <c r="N18" s="55">
        <f>77594*($B$4)*$N$7</f>
        <v>382804.47541545611</v>
      </c>
      <c r="O18" s="55">
        <f>506171*($B$4)*$O$7</f>
        <v>2796817.6279168348</v>
      </c>
      <c r="P18" s="55">
        <f>359846*($B$4)*$P$7</f>
        <v>2226904.4897309504</v>
      </c>
      <c r="Q18" s="55">
        <f>1027214*($B$4)*$Q$7</f>
        <v>7119735.5667041661</v>
      </c>
      <c r="R18" s="56">
        <f t="shared" si="3"/>
        <v>12526262.159767408</v>
      </c>
    </row>
    <row r="19" spans="1:18" x14ac:dyDescent="0.4">
      <c r="A19" s="50" t="s">
        <v>25</v>
      </c>
      <c r="B19" s="51">
        <f t="shared" si="1"/>
        <v>22509775.17430485</v>
      </c>
      <c r="C19" s="52">
        <v>42693.37</v>
      </c>
      <c r="D19" s="53">
        <v>479</v>
      </c>
      <c r="E19" s="54">
        <v>68041.55</v>
      </c>
      <c r="F19" s="54">
        <f t="shared" si="2"/>
        <v>6804.1550000000007</v>
      </c>
      <c r="G19" s="47">
        <v>7604809.6880811406</v>
      </c>
      <c r="H19" s="55">
        <f>0*($B$4)</f>
        <v>0</v>
      </c>
      <c r="I19" s="55">
        <f>79217*($B$4)</f>
        <v>190120.8</v>
      </c>
      <c r="J19" s="55">
        <f>304736*($B$4)</f>
        <v>731366.40000000002</v>
      </c>
      <c r="K19" s="55">
        <f>32261*($B$4)</f>
        <v>77426.399999999994</v>
      </c>
      <c r="L19" s="55">
        <f>1502950*($B$4)*$L$7</f>
        <v>5910950.9218959389</v>
      </c>
      <c r="M19" s="55">
        <f>1265692*($B$4)*$M$7</f>
        <v>5575179.8060778286</v>
      </c>
      <c r="N19" s="55">
        <f>0*($B$4)*$N$7</f>
        <v>0</v>
      </c>
      <c r="O19" s="55">
        <f>167317*($B$4)*$O$7</f>
        <v>924500.08998966962</v>
      </c>
      <c r="P19" s="55">
        <f>191385*($B$4)*$P$7</f>
        <v>1184384.7528308162</v>
      </c>
      <c r="Q19" s="55">
        <f>884382*($B$4)*$Q$7</f>
        <v>6129750.9379281858</v>
      </c>
      <c r="R19" s="56">
        <f t="shared" si="3"/>
        <v>13813815.5868265</v>
      </c>
    </row>
    <row r="20" spans="1:18" s="57" customFormat="1" x14ac:dyDescent="0.4">
      <c r="A20" s="50" t="s">
        <v>26</v>
      </c>
      <c r="B20" s="51">
        <f t="shared" si="1"/>
        <v>6765203.9162931312</v>
      </c>
      <c r="C20" s="52">
        <v>12390.25</v>
      </c>
      <c r="D20" s="53">
        <v>221</v>
      </c>
      <c r="E20" s="54">
        <v>0</v>
      </c>
      <c r="F20" s="54">
        <f t="shared" si="2"/>
        <v>0</v>
      </c>
      <c r="G20" s="47">
        <v>21611.326733841528</v>
      </c>
      <c r="H20" s="55">
        <f>0*($B$4)</f>
        <v>0</v>
      </c>
      <c r="I20" s="55">
        <f>0*($B$4)</f>
        <v>0</v>
      </c>
      <c r="J20" s="55">
        <f>0*($B$4)</f>
        <v>0</v>
      </c>
      <c r="K20" s="55">
        <f>0*($B$4)</f>
        <v>0</v>
      </c>
      <c r="L20" s="55">
        <f>0*($B$4)*$L$7</f>
        <v>0</v>
      </c>
      <c r="M20" s="55">
        <f>0*($B$4)*$M$7</f>
        <v>0</v>
      </c>
      <c r="N20" s="55">
        <f>326095*($B$4)*$N$7</f>
        <v>1608766.4691935349</v>
      </c>
      <c r="O20" s="55">
        <f>141743*($B$4)*$O$7</f>
        <v>783192.48047362641</v>
      </c>
      <c r="P20" s="55">
        <f>0*($B$4)*$P$7</f>
        <v>0</v>
      </c>
      <c r="Q20" s="55">
        <f>1114682*($B$4)*$Q$7</f>
        <v>7725986.0953656519</v>
      </c>
      <c r="R20" s="56">
        <f t="shared" si="3"/>
        <v>10117945.045032814</v>
      </c>
    </row>
    <row r="21" spans="1:18" x14ac:dyDescent="0.4">
      <c r="A21" s="50" t="s">
        <v>27</v>
      </c>
      <c r="B21" s="51">
        <f t="shared" si="1"/>
        <v>32364731.952993218</v>
      </c>
      <c r="C21" s="52">
        <v>68995.929999999993</v>
      </c>
      <c r="D21" s="53">
        <v>446</v>
      </c>
      <c r="E21" s="54">
        <v>83557.200000000012</v>
      </c>
      <c r="F21" s="54">
        <f t="shared" si="2"/>
        <v>8355.7200000000012</v>
      </c>
      <c r="G21" s="47">
        <v>11624142.489292063</v>
      </c>
      <c r="H21" s="55">
        <f>1743*($B$4)</f>
        <v>4183.2</v>
      </c>
      <c r="I21" s="55">
        <f>5750*($B$4)</f>
        <v>13800</v>
      </c>
      <c r="J21" s="55">
        <f>187492*($B$4)</f>
        <v>449980.8</v>
      </c>
      <c r="K21" s="55">
        <f>449208*($B$4)</f>
        <v>1078099.2</v>
      </c>
      <c r="L21" s="55">
        <f>3444965*($B$4)*$L$7</f>
        <v>13548700.251271993</v>
      </c>
      <c r="M21" s="55">
        <f>0*($B$4)*$M$7</f>
        <v>0</v>
      </c>
      <c r="N21" s="55">
        <f>30385*($B$4)*$N$7</f>
        <v>149902.2345219815</v>
      </c>
      <c r="O21" s="55">
        <f>685461*($B$4)*$O$7</f>
        <v>3787473.8142831204</v>
      </c>
      <c r="P21" s="55">
        <f>10108*($B$4)*$P$7</f>
        <v>62553.288301663619</v>
      </c>
      <c r="Q21" s="55">
        <f>1417096*($B$4)*$Q$7</f>
        <v>9822051.4835605882</v>
      </c>
      <c r="R21" s="56">
        <f t="shared" si="3"/>
        <v>13821980.820667353</v>
      </c>
    </row>
    <row r="22" spans="1:18" x14ac:dyDescent="0.4">
      <c r="A22" s="50" t="s">
        <v>28</v>
      </c>
      <c r="B22" s="51">
        <f t="shared" si="1"/>
        <v>49991605.964960091</v>
      </c>
      <c r="C22" s="52">
        <v>55138.14</v>
      </c>
      <c r="D22" s="53">
        <v>950</v>
      </c>
      <c r="E22" s="54">
        <v>311379.26999999996</v>
      </c>
      <c r="F22" s="54">
        <f t="shared" si="2"/>
        <v>31137.926999999996</v>
      </c>
      <c r="G22" s="47">
        <v>11212526.606334621</v>
      </c>
      <c r="H22" s="55">
        <f>0*($B$4)</f>
        <v>0</v>
      </c>
      <c r="I22" s="55">
        <f>0*($B$4)</f>
        <v>0</v>
      </c>
      <c r="J22" s="55">
        <f>226311*($B$4)</f>
        <v>543146.4</v>
      </c>
      <c r="K22" s="55">
        <f>404999*($B$4)</f>
        <v>971997.6</v>
      </c>
      <c r="L22" s="55">
        <f>1438680*($B$4)*$L$7</f>
        <v>5658183.4873503773</v>
      </c>
      <c r="M22" s="55">
        <f>0*($B$4)*$M$7</f>
        <v>0</v>
      </c>
      <c r="N22" s="55">
        <f>0*($B$4)*$N$7</f>
        <v>0</v>
      </c>
      <c r="O22" s="55">
        <f>2334790*($B$4)*$O$7</f>
        <v>12900742.692655144</v>
      </c>
      <c r="P22" s="55">
        <f>6868*($B$4)*$P$7</f>
        <v>42502.570642642037</v>
      </c>
      <c r="Q22" s="55">
        <f>5415607*($B$4)*$Q$7</f>
        <v>37536180.166150428</v>
      </c>
      <c r="R22" s="56">
        <f t="shared" si="3"/>
        <v>50479425.429448217</v>
      </c>
    </row>
    <row r="23" spans="1:18" x14ac:dyDescent="0.4">
      <c r="A23" s="50" t="s">
        <v>29</v>
      </c>
      <c r="B23" s="51">
        <f t="shared" si="1"/>
        <v>50297495.639288969</v>
      </c>
      <c r="C23" s="52">
        <v>51656.37</v>
      </c>
      <c r="D23" s="53">
        <v>220</v>
      </c>
      <c r="E23" s="54">
        <v>91087.889999999985</v>
      </c>
      <c r="F23" s="54">
        <f t="shared" si="2"/>
        <v>9108.7889999999989</v>
      </c>
      <c r="G23" s="47">
        <v>7591548.6908735596</v>
      </c>
      <c r="H23" s="55">
        <f>0*($B$4)</f>
        <v>0</v>
      </c>
      <c r="I23" s="55">
        <f>519233*($B$4)</f>
        <v>1246159.2</v>
      </c>
      <c r="J23" s="55">
        <f>1051854*($B$4)</f>
        <v>2524449.6</v>
      </c>
      <c r="K23" s="55">
        <f>1180388*($B$4)</f>
        <v>2832931.1999999997</v>
      </c>
      <c r="L23" s="55">
        <f>3099841*($B$4)*$L$7</f>
        <v>12191362.331867877</v>
      </c>
      <c r="M23" s="55">
        <f>381755*($B$4)*$M$7</f>
        <v>1681572.4258897437</v>
      </c>
      <c r="N23" s="55">
        <f>0*($B$4)*$N$7</f>
        <v>0</v>
      </c>
      <c r="O23" s="55">
        <f>136196*($B$4)*$O$7</f>
        <v>752542.86328486062</v>
      </c>
      <c r="P23" s="55">
        <f>161606*($B$4)*$P$7</f>
        <v>1000097.6166678522</v>
      </c>
      <c r="Q23" s="55">
        <f>5616329*($B$4)*$Q$7</f>
        <v>38927406.884653091</v>
      </c>
      <c r="R23" s="56">
        <f t="shared" si="3"/>
        <v>42361619.790495545</v>
      </c>
    </row>
    <row r="24" spans="1:18" x14ac:dyDescent="0.4">
      <c r="A24" s="50" t="s">
        <v>30</v>
      </c>
      <c r="B24" s="51">
        <f t="shared" si="1"/>
        <v>36772984.155561432</v>
      </c>
      <c r="C24" s="52">
        <v>50093.17</v>
      </c>
      <c r="D24" s="53">
        <v>527</v>
      </c>
      <c r="E24" s="54">
        <v>95697.07</v>
      </c>
      <c r="F24" s="54">
        <f t="shared" si="2"/>
        <v>9569.7070000000003</v>
      </c>
      <c r="G24" s="47">
        <v>11577132.9802095</v>
      </c>
      <c r="H24" s="55">
        <f>0*($B$4)</f>
        <v>0</v>
      </c>
      <c r="I24" s="55">
        <f>690851*($B$4)</f>
        <v>1658042.4</v>
      </c>
      <c r="J24" s="55">
        <f>197842*($B$4)</f>
        <v>474820.8</v>
      </c>
      <c r="K24" s="55">
        <f>1069709*($B$4)</f>
        <v>2567301.6</v>
      </c>
      <c r="L24" s="55">
        <f>6257527*($B$4)*$L$7</f>
        <v>24610223.220625255</v>
      </c>
      <c r="M24" s="55">
        <f>0*($B$4)*$M$7</f>
        <v>0</v>
      </c>
      <c r="N24" s="55">
        <f>8833*($B$4)*$N$7</f>
        <v>43576.976716559577</v>
      </c>
      <c r="O24" s="55">
        <f>0*($B$4)*$O$7</f>
        <v>0</v>
      </c>
      <c r="P24" s="55">
        <f>0*($B$4)*$P$7</f>
        <v>0</v>
      </c>
      <c r="Q24" s="55">
        <f>481854*($B$4)*$Q$7</f>
        <v>3339784.1752143847</v>
      </c>
      <c r="R24" s="56">
        <f t="shared" si="3"/>
        <v>3383361.1519309441</v>
      </c>
    </row>
    <row r="25" spans="1:18" s="57" customFormat="1" x14ac:dyDescent="0.4">
      <c r="A25" s="50" t="s">
        <v>31</v>
      </c>
      <c r="B25" s="51">
        <f t="shared" si="1"/>
        <v>10416603.172075387</v>
      </c>
      <c r="C25" s="52">
        <v>32434.86</v>
      </c>
      <c r="D25" s="53">
        <v>304</v>
      </c>
      <c r="E25" s="55"/>
      <c r="F25" s="54">
        <f t="shared" si="2"/>
        <v>0</v>
      </c>
      <c r="G25" s="47">
        <v>40952.478155758778</v>
      </c>
      <c r="H25" s="55">
        <f>0*($B$4)</f>
        <v>0</v>
      </c>
      <c r="I25" s="55">
        <f>0*($B$4)</f>
        <v>0</v>
      </c>
      <c r="J25" s="55">
        <f>0*($B$4)</f>
        <v>0</v>
      </c>
      <c r="K25" s="55">
        <f>0*($B$4)</f>
        <v>0</v>
      </c>
      <c r="L25" s="55">
        <f>0*($B$4)*$L$7</f>
        <v>0</v>
      </c>
      <c r="M25" s="55">
        <f>0*($B$4)*$M$7</f>
        <v>0</v>
      </c>
      <c r="N25" s="55">
        <f>565233*($B$4)*$N$7</f>
        <v>2788536.7689834842</v>
      </c>
      <c r="O25" s="55">
        <f>84051*($B$4)*$O$7</f>
        <v>464418.78030159348</v>
      </c>
      <c r="P25" s="55">
        <f>0*($B$4)*$P$7</f>
        <v>0</v>
      </c>
      <c r="Q25" s="55">
        <f>1779833*($B$4)*$Q$7</f>
        <v>12336222.357652619</v>
      </c>
      <c r="R25" s="56">
        <f t="shared" si="3"/>
        <v>15589177.906937696</v>
      </c>
    </row>
    <row r="26" spans="1:18" x14ac:dyDescent="0.4">
      <c r="A26" s="50" t="s">
        <v>32</v>
      </c>
      <c r="B26" s="51">
        <f t="shared" si="1"/>
        <v>18340522.271238338</v>
      </c>
      <c r="C26" s="52">
        <v>67280.679999999993</v>
      </c>
      <c r="D26" s="53">
        <v>531</v>
      </c>
      <c r="E26" s="54">
        <v>147563.25999999998</v>
      </c>
      <c r="F26" s="54">
        <f t="shared" si="2"/>
        <v>14756.325999999999</v>
      </c>
      <c r="G26" s="47">
        <v>6579050.0982230781</v>
      </c>
      <c r="H26" s="55">
        <f>0*($B$4)</f>
        <v>0</v>
      </c>
      <c r="I26" s="55">
        <f>0*($B$4)</f>
        <v>0</v>
      </c>
      <c r="J26" s="55">
        <f>0*($B$4)</f>
        <v>0</v>
      </c>
      <c r="K26" s="55">
        <f>355430*($B$4)</f>
        <v>853032</v>
      </c>
      <c r="L26" s="55">
        <f>550100*($B$4)*$L$7</f>
        <v>2163487.8752686088</v>
      </c>
      <c r="M26" s="55">
        <f>167954*($B$4)*$M$7</f>
        <v>739811.69917325513</v>
      </c>
      <c r="N26" s="55">
        <f>89280*($B$4)*$N$7</f>
        <v>440456.52453916438</v>
      </c>
      <c r="O26" s="55">
        <f>297258*($B$4)*$O$7</f>
        <v>1642481.324373191</v>
      </c>
      <c r="P26" s="55">
        <f>138493*($B$4)*$P$7</f>
        <v>857062.97554039373</v>
      </c>
      <c r="Q26" s="55">
        <f>1551762*($B$4)*$Q$7</f>
        <v>10755436.649481013</v>
      </c>
      <c r="R26" s="56">
        <f t="shared" si="3"/>
        <v>14435249.173107017</v>
      </c>
    </row>
    <row r="27" spans="1:18" x14ac:dyDescent="0.4">
      <c r="A27" s="50" t="s">
        <v>33</v>
      </c>
      <c r="B27" s="51">
        <f t="shared" si="1"/>
        <v>45551658.047024883</v>
      </c>
      <c r="C27" s="52">
        <v>54856.46</v>
      </c>
      <c r="D27" s="53">
        <v>449</v>
      </c>
      <c r="E27" s="54">
        <v>116672.17999999998</v>
      </c>
      <c r="F27" s="54">
        <f t="shared" si="2"/>
        <v>11667.217999999999</v>
      </c>
      <c r="G27" s="47">
        <v>16143505.344882077</v>
      </c>
      <c r="H27" s="55">
        <f>0*($B$4)</f>
        <v>0</v>
      </c>
      <c r="I27" s="55">
        <f>131802*($B$4)</f>
        <v>316324.8</v>
      </c>
      <c r="J27" s="55">
        <f>341313*($B$4)</f>
        <v>819151.2</v>
      </c>
      <c r="K27" s="55">
        <f>2297697*($B$4)</f>
        <v>5514472.7999999998</v>
      </c>
      <c r="L27" s="55">
        <f>899316*($B$4)*$L$7</f>
        <v>3536919.2183876829</v>
      </c>
      <c r="M27" s="55">
        <f>3592810*($B$4)*$M$7</f>
        <v>15825778.909145735</v>
      </c>
      <c r="N27" s="55">
        <f>55544*($B$4)*$N$7</f>
        <v>274022.37006052135</v>
      </c>
      <c r="O27" s="55">
        <f>249788*($B$4)*$O$7</f>
        <v>1380188.6746615083</v>
      </c>
      <c r="P27" s="55">
        <f>69627*($B$4)*$P$7</f>
        <v>430886.20939651091</v>
      </c>
      <c r="Q27" s="55">
        <f>1828513*($B$4)*$Q$7</f>
        <v>12673628.903306356</v>
      </c>
      <c r="R27" s="56">
        <f t="shared" si="3"/>
        <v>30584505.066570632</v>
      </c>
    </row>
    <row r="28" spans="1:18" x14ac:dyDescent="0.4">
      <c r="A28" s="50" t="s">
        <v>34</v>
      </c>
      <c r="B28" s="51">
        <f t="shared" si="1"/>
        <v>253504758.72506675</v>
      </c>
      <c r="C28" s="52">
        <v>198673.24</v>
      </c>
      <c r="D28" s="53">
        <v>1723</v>
      </c>
      <c r="E28" s="54">
        <v>517257.93000000005</v>
      </c>
      <c r="F28" s="54">
        <f t="shared" si="2"/>
        <v>51725.793000000005</v>
      </c>
      <c r="G28" s="47">
        <v>76263205.989930227</v>
      </c>
      <c r="H28" s="55">
        <f>8639575*($B$4)</f>
        <v>20734980</v>
      </c>
      <c r="I28" s="55">
        <f>1059313*($B$4)</f>
        <v>2542351.1999999997</v>
      </c>
      <c r="J28" s="55">
        <f>5393900*($B$4)</f>
        <v>12945360</v>
      </c>
      <c r="K28" s="55">
        <f>3131969*($B$4)</f>
        <v>7516725.5999999996</v>
      </c>
      <c r="L28" s="55">
        <f>12214054*($B$4)*$L$7</f>
        <v>48036643.76818043</v>
      </c>
      <c r="M28" s="55">
        <f>160577*($B$4)*$M$7</f>
        <v>707317.14170632313</v>
      </c>
      <c r="N28" s="55">
        <f>0*($B$4)*$N$7</f>
        <v>0</v>
      </c>
      <c r="O28" s="55">
        <f>932775*($B$4)*$O$7</f>
        <v>5153992.5497117089</v>
      </c>
      <c r="P28" s="55">
        <f>829588*($B$4)*$P$7</f>
        <v>5133899.6176890098</v>
      </c>
      <c r="Q28" s="55">
        <f>21302146*($B$4)*$Q$7</f>
        <v>147647565.67115021</v>
      </c>
      <c r="R28" s="56">
        <f t="shared" si="3"/>
        <v>158642774.98025724</v>
      </c>
    </row>
    <row r="29" spans="1:18" s="57" customFormat="1" x14ac:dyDescent="0.4">
      <c r="A29" s="50" t="s">
        <v>35</v>
      </c>
      <c r="B29" s="51">
        <f t="shared" si="1"/>
        <v>0</v>
      </c>
      <c r="C29" s="52">
        <v>32319.46</v>
      </c>
      <c r="D29" s="53">
        <v>160</v>
      </c>
      <c r="E29" s="54">
        <v>113346.83</v>
      </c>
      <c r="F29" s="54">
        <f t="shared" si="2"/>
        <v>11334.683000000001</v>
      </c>
      <c r="G29" s="47">
        <v>0</v>
      </c>
      <c r="H29" s="55">
        <f t="shared" ref="H29:K30" si="4">0*($B$4)</f>
        <v>0</v>
      </c>
      <c r="I29" s="55">
        <f t="shared" si="4"/>
        <v>0</v>
      </c>
      <c r="J29" s="55">
        <f t="shared" si="4"/>
        <v>0</v>
      </c>
      <c r="K29" s="55">
        <f t="shared" si="4"/>
        <v>0</v>
      </c>
      <c r="L29" s="55">
        <f>0*($B$4)*$L$7</f>
        <v>0</v>
      </c>
      <c r="M29" s="55">
        <f t="shared" ref="M29:M40" si="5">0*($B$4)*$M$7</f>
        <v>0</v>
      </c>
      <c r="N29" s="55">
        <f>0*($B$4)*$N$7</f>
        <v>0</v>
      </c>
      <c r="O29" s="55">
        <f>0*($B$4)*$O$7</f>
        <v>0</v>
      </c>
      <c r="P29" s="55">
        <f>0*($B$4)*$P$7</f>
        <v>0</v>
      </c>
      <c r="Q29" s="55">
        <f>0*($B$4)*$Q$7</f>
        <v>0</v>
      </c>
      <c r="R29" s="56">
        <f t="shared" si="3"/>
        <v>0</v>
      </c>
    </row>
    <row r="30" spans="1:18" s="57" customFormat="1" x14ac:dyDescent="0.4">
      <c r="A30" s="50" t="s">
        <v>123</v>
      </c>
      <c r="B30" s="51">
        <f t="shared" si="1"/>
        <v>4821314.9097395288</v>
      </c>
      <c r="C30" s="52">
        <v>39490.6</v>
      </c>
      <c r="D30" s="53">
        <v>252</v>
      </c>
      <c r="E30" s="55">
        <v>0</v>
      </c>
      <c r="F30" s="54">
        <f t="shared" si="2"/>
        <v>0</v>
      </c>
      <c r="G30" s="47">
        <v>0</v>
      </c>
      <c r="H30" s="55">
        <f t="shared" si="4"/>
        <v>0</v>
      </c>
      <c r="I30" s="55">
        <f t="shared" si="4"/>
        <v>0</v>
      </c>
      <c r="J30" s="55">
        <f t="shared" si="4"/>
        <v>0</v>
      </c>
      <c r="K30" s="55">
        <f t="shared" si="4"/>
        <v>0</v>
      </c>
      <c r="L30" s="55">
        <f>0*($B$4)*$L$7</f>
        <v>0</v>
      </c>
      <c r="M30" s="55">
        <f t="shared" si="5"/>
        <v>0</v>
      </c>
      <c r="N30" s="55">
        <f>217181*($B$4)*$N$7</f>
        <v>1071447.0033147431</v>
      </c>
      <c r="O30" s="55">
        <f>258565*($B$4)*$O$7</f>
        <v>1428685.4639288234</v>
      </c>
      <c r="P30" s="55">
        <f>0*($B$4)*$P$7</f>
        <v>0</v>
      </c>
      <c r="Q30" s="55">
        <f>674018*($B$4)*$Q$7</f>
        <v>4671694.4348488329</v>
      </c>
      <c r="R30" s="56">
        <f t="shared" si="3"/>
        <v>7171826.9020923991</v>
      </c>
    </row>
    <row r="31" spans="1:18" x14ac:dyDescent="0.4">
      <c r="A31" s="50" t="s">
        <v>36</v>
      </c>
      <c r="B31" s="51">
        <f t="shared" si="1"/>
        <v>20687365.34047335</v>
      </c>
      <c r="C31" s="52">
        <v>45969.14</v>
      </c>
      <c r="D31" s="53">
        <v>274</v>
      </c>
      <c r="E31" s="54">
        <v>71398.44</v>
      </c>
      <c r="F31" s="54">
        <f t="shared" si="2"/>
        <v>7139.844000000001</v>
      </c>
      <c r="G31" s="47">
        <v>8518633.2863939311</v>
      </c>
      <c r="H31" s="55">
        <f>0*($B$4)</f>
        <v>0</v>
      </c>
      <c r="I31" s="55">
        <f>0*($B$4)</f>
        <v>0</v>
      </c>
      <c r="J31" s="55">
        <f>357721*($B$4)</f>
        <v>858530.4</v>
      </c>
      <c r="K31" s="55">
        <f>381267*($B$4)</f>
        <v>915040.79999999993</v>
      </c>
      <c r="L31" s="55">
        <f>3061740*($B$4)*$L$7</f>
        <v>12041514.937692985</v>
      </c>
      <c r="M31" s="55">
        <f t="shared" si="5"/>
        <v>0</v>
      </c>
      <c r="N31" s="55">
        <f>99208*($B$4)*$N$7</f>
        <v>489435.60580736352</v>
      </c>
      <c r="O31" s="55">
        <f>95339*($B$4)*$O$7</f>
        <v>526789.95009189215</v>
      </c>
      <c r="P31" s="55">
        <f>0*($B$4)*$P$7</f>
        <v>0</v>
      </c>
      <c r="Q31" s="55">
        <f>170151*($B$4)*$Q$7</f>
        <v>1179335.6850766058</v>
      </c>
      <c r="R31" s="56">
        <f t="shared" si="3"/>
        <v>2195561.2409758614</v>
      </c>
    </row>
    <row r="32" spans="1:18" x14ac:dyDescent="0.4">
      <c r="A32" s="50" t="s">
        <v>37</v>
      </c>
      <c r="B32" s="51">
        <f t="shared" si="1"/>
        <v>63462705.92821072</v>
      </c>
      <c r="C32" s="52">
        <v>146813.15</v>
      </c>
      <c r="D32" s="53">
        <v>793</v>
      </c>
      <c r="E32" s="54">
        <v>265019.12</v>
      </c>
      <c r="F32" s="54">
        <f t="shared" si="2"/>
        <v>26501.912</v>
      </c>
      <c r="G32" s="47">
        <v>19964465.42562082</v>
      </c>
      <c r="H32" s="55">
        <f>0*($B$4)</f>
        <v>0</v>
      </c>
      <c r="I32" s="55">
        <f>0*($B$4)</f>
        <v>0</v>
      </c>
      <c r="J32" s="55">
        <f>208560*($B$4)</f>
        <v>500544</v>
      </c>
      <c r="K32" s="55">
        <f>28229*($B$4)</f>
        <v>67749.599999999991</v>
      </c>
      <c r="L32" s="55">
        <f>2881219*($B$4)*$L$7</f>
        <v>11331544.032891376</v>
      </c>
      <c r="M32" s="55">
        <f t="shared" si="5"/>
        <v>0</v>
      </c>
      <c r="N32" s="55">
        <f>28763*($B$4)*$N$7</f>
        <v>141900.21298521486</v>
      </c>
      <c r="O32" s="55">
        <f>1973744*($B$4)*$O$7</f>
        <v>10905804.584211826</v>
      </c>
      <c r="P32" s="55">
        <f>227467*($B$4)*$P$7</f>
        <v>1407677.9610323028</v>
      </c>
      <c r="Q32" s="55">
        <f>5799264*($B$4)*$Q$7</f>
        <v>40195349.909081332</v>
      </c>
      <c r="R32" s="56">
        <f t="shared" si="3"/>
        <v>52650732.667310677</v>
      </c>
    </row>
    <row r="33" spans="1:18" x14ac:dyDescent="0.4">
      <c r="A33" s="50" t="s">
        <v>38</v>
      </c>
      <c r="B33" s="51">
        <f t="shared" si="1"/>
        <v>33307550.862141948</v>
      </c>
      <c r="C33" s="52">
        <v>31720.59</v>
      </c>
      <c r="D33" s="53">
        <v>241</v>
      </c>
      <c r="E33" s="54">
        <v>71059.250000000015</v>
      </c>
      <c r="F33" s="54">
        <f t="shared" si="2"/>
        <v>7105.925000000002</v>
      </c>
      <c r="G33" s="47">
        <v>4554565.9169834293</v>
      </c>
      <c r="H33" s="55">
        <f>0*($B$4)</f>
        <v>0</v>
      </c>
      <c r="I33" s="55">
        <f>1338407*($B$4)</f>
        <v>3212176.8</v>
      </c>
      <c r="J33" s="55">
        <f>2809*($B$4)</f>
        <v>6741.5999999999995</v>
      </c>
      <c r="K33" s="55">
        <f>453190*($B$4)</f>
        <v>1087656</v>
      </c>
      <c r="L33" s="55">
        <f>2352888*($B$4)*$L$7</f>
        <v>9253671.4413106833</v>
      </c>
      <c r="M33" s="55">
        <f t="shared" si="5"/>
        <v>0</v>
      </c>
      <c r="N33" s="55">
        <f>0*($B$4)*$N$7</f>
        <v>0</v>
      </c>
      <c r="O33" s="55">
        <f>106781*($B$4)*$O$7</f>
        <v>590012.03768407821</v>
      </c>
      <c r="P33" s="55">
        <f>55375*($B$4)*$P$7</f>
        <v>342687.80566923454</v>
      </c>
      <c r="Q33" s="55">
        <f>3823243*($B$4)*$Q$7</f>
        <v>26499326.495990839</v>
      </c>
      <c r="R33" s="56">
        <f t="shared" si="3"/>
        <v>27432026.339344151</v>
      </c>
    </row>
    <row r="34" spans="1:18" x14ac:dyDescent="0.4">
      <c r="A34" s="50" t="s">
        <v>39</v>
      </c>
      <c r="B34" s="51">
        <f t="shared" si="1"/>
        <v>30596761.854462072</v>
      </c>
      <c r="C34" s="52">
        <v>57687.87</v>
      </c>
      <c r="D34" s="53">
        <v>363</v>
      </c>
      <c r="E34" s="54">
        <v>80094.990000000005</v>
      </c>
      <c r="F34" s="54">
        <f t="shared" si="2"/>
        <v>8009.4990000000007</v>
      </c>
      <c r="G34" s="47">
        <v>7612232.1642727088</v>
      </c>
      <c r="H34" s="55">
        <f>0*($B$4)</f>
        <v>0</v>
      </c>
      <c r="I34" s="55">
        <f>460862*($B$4)</f>
        <v>1106068.8</v>
      </c>
      <c r="J34" s="55">
        <f>789041*($B$4)</f>
        <v>1893698.4</v>
      </c>
      <c r="K34" s="55">
        <f>585844*($B$4)</f>
        <v>1406025.5999999999</v>
      </c>
      <c r="L34" s="55">
        <f>3446703*($B$4)*$L$7</f>
        <v>13555535.630161678</v>
      </c>
      <c r="M34" s="55">
        <f t="shared" si="5"/>
        <v>0</v>
      </c>
      <c r="N34" s="55">
        <f>361566*($B$4)*$N$7</f>
        <v>1783760.1226649587</v>
      </c>
      <c r="O34" s="55">
        <f>664221*($B$4)*$O$7</f>
        <v>3670113.4629059108</v>
      </c>
      <c r="P34" s="55">
        <f>626535*($B$4)*$P$7</f>
        <v>3877307.5273132976</v>
      </c>
      <c r="Q34" s="55">
        <f>511996*($B$4)*$Q$7</f>
        <v>3548701.7614735253</v>
      </c>
      <c r="R34" s="56">
        <f t="shared" si="3"/>
        <v>12879882.874357693</v>
      </c>
    </row>
    <row r="35" spans="1:18" s="57" customFormat="1" x14ac:dyDescent="0.4">
      <c r="A35" s="50" t="s">
        <v>40</v>
      </c>
      <c r="B35" s="51">
        <f t="shared" si="1"/>
        <v>12088295.045640303</v>
      </c>
      <c r="C35" s="52">
        <v>22755.45</v>
      </c>
      <c r="D35" s="53">
        <v>98</v>
      </c>
      <c r="E35" s="54">
        <v>143607.53000000003</v>
      </c>
      <c r="F35" s="54">
        <f t="shared" si="2"/>
        <v>14360.753000000004</v>
      </c>
      <c r="G35" s="47">
        <v>12571826.847465916</v>
      </c>
      <c r="H35" s="55">
        <f>0*($B$4)</f>
        <v>0</v>
      </c>
      <c r="I35" s="55">
        <f>0*($B$4)</f>
        <v>0</v>
      </c>
      <c r="J35" s="55">
        <f>0*($B$4)</f>
        <v>0</v>
      </c>
      <c r="K35" s="55">
        <f>0*($B$4)</f>
        <v>0</v>
      </c>
      <c r="L35" s="55">
        <f>0*($B$4)*$L$7</f>
        <v>0</v>
      </c>
      <c r="M35" s="55">
        <f t="shared" si="5"/>
        <v>0</v>
      </c>
      <c r="N35" s="55">
        <f t="shared" ref="N35:N40" si="6">0*($B$4)*$N$7</f>
        <v>0</v>
      </c>
      <c r="O35" s="55">
        <f>0*($B$4)*$O$7</f>
        <v>0</v>
      </c>
      <c r="P35" s="55">
        <f>0*($B$4)*$P$7</f>
        <v>0</v>
      </c>
      <c r="Q35" s="55">
        <f>0*($B$4)*$Q$7</f>
        <v>0</v>
      </c>
      <c r="R35" s="56">
        <f t="shared" si="3"/>
        <v>0</v>
      </c>
    </row>
    <row r="36" spans="1:18" x14ac:dyDescent="0.4">
      <c r="A36" s="50" t="s">
        <v>41</v>
      </c>
      <c r="B36" s="51">
        <f t="shared" si="1"/>
        <v>25435287.755759232</v>
      </c>
      <c r="C36" s="52">
        <v>55634.48</v>
      </c>
      <c r="D36" s="53">
        <v>483</v>
      </c>
      <c r="E36" s="54">
        <v>116002.48</v>
      </c>
      <c r="F36" s="54">
        <f t="shared" si="2"/>
        <v>11600.248</v>
      </c>
      <c r="G36" s="47">
        <v>6216792.4581385115</v>
      </c>
      <c r="H36" s="55">
        <f>0*($B$4)</f>
        <v>0</v>
      </c>
      <c r="I36" s="55">
        <f>0*($B$4)</f>
        <v>0</v>
      </c>
      <c r="J36" s="55">
        <f>66762*($B$4)</f>
        <v>160228.79999999999</v>
      </c>
      <c r="K36" s="55">
        <f>450813*($B$4)</f>
        <v>1081951.2</v>
      </c>
      <c r="L36" s="55">
        <f>3812749*($B$4)*$L$7</f>
        <v>14995157.66759228</v>
      </c>
      <c r="M36" s="55">
        <f t="shared" si="5"/>
        <v>0</v>
      </c>
      <c r="N36" s="55">
        <f t="shared" si="6"/>
        <v>0</v>
      </c>
      <c r="O36" s="55">
        <f>59124*($B$4)*$O$7</f>
        <v>326686.13064153213</v>
      </c>
      <c r="P36" s="55">
        <f>685963*($B$4)*$P$7</f>
        <v>4245077.2955356231</v>
      </c>
      <c r="Q36" s="55">
        <f>773627*($B$4)*$Q$7</f>
        <v>5362095.5976677146</v>
      </c>
      <c r="R36" s="56">
        <f t="shared" si="3"/>
        <v>9933859.0238448698</v>
      </c>
    </row>
    <row r="37" spans="1:18" x14ac:dyDescent="0.4">
      <c r="A37" s="50" t="s">
        <v>42</v>
      </c>
      <c r="B37" s="51">
        <f t="shared" si="1"/>
        <v>21660918.048535433</v>
      </c>
      <c r="C37" s="52">
        <v>27924.560000000001</v>
      </c>
      <c r="D37" s="53">
        <v>191</v>
      </c>
      <c r="E37" s="54">
        <v>63799.270000000004</v>
      </c>
      <c r="F37" s="54">
        <f t="shared" si="2"/>
        <v>6379.9270000000006</v>
      </c>
      <c r="G37" s="47">
        <v>2465806.4074251433</v>
      </c>
      <c r="H37" s="55">
        <f>0*($B$4)</f>
        <v>0</v>
      </c>
      <c r="I37" s="55">
        <f>0*($B$4)</f>
        <v>0</v>
      </c>
      <c r="J37" s="55">
        <f>237554*($B$4)</f>
        <v>570129.6</v>
      </c>
      <c r="K37" s="55">
        <f>52978*($B$4)</f>
        <v>127147.2</v>
      </c>
      <c r="L37" s="55">
        <f>565266*($B$4)*$L$7</f>
        <v>2223134.225234658</v>
      </c>
      <c r="M37" s="55">
        <f t="shared" si="5"/>
        <v>0</v>
      </c>
      <c r="N37" s="55">
        <f t="shared" si="6"/>
        <v>0</v>
      </c>
      <c r="O37" s="55">
        <f>866706*($B$4)*$O$7</f>
        <v>4788932.2363811601</v>
      </c>
      <c r="P37" s="55">
        <f>0*($B$4)*$P$7</f>
        <v>0</v>
      </c>
      <c r="Q37" s="55">
        <f>3015442*($B$4)*$Q$7</f>
        <v>20900367.067362346</v>
      </c>
      <c r="R37" s="56">
        <f t="shared" si="3"/>
        <v>25689299.303743504</v>
      </c>
    </row>
    <row r="38" spans="1:18" x14ac:dyDescent="0.4">
      <c r="A38" s="50" t="s">
        <v>43</v>
      </c>
      <c r="B38" s="51">
        <f t="shared" si="1"/>
        <v>30442410.876842692</v>
      </c>
      <c r="C38" s="52">
        <v>105410.47</v>
      </c>
      <c r="D38" s="53">
        <v>481</v>
      </c>
      <c r="E38" s="54">
        <v>137116.09</v>
      </c>
      <c r="F38" s="54">
        <f t="shared" si="2"/>
        <v>13711.609</v>
      </c>
      <c r="G38" s="47">
        <v>8957866.099949874</v>
      </c>
      <c r="H38" s="55">
        <f>752582*($B$4)</f>
        <v>1806196.8</v>
      </c>
      <c r="I38" s="55">
        <f>398049*($B$4)</f>
        <v>955317.6</v>
      </c>
      <c r="J38" s="55">
        <f>645943*($B$4)</f>
        <v>1550263.2</v>
      </c>
      <c r="K38" s="55">
        <f>1960877*($B$4)</f>
        <v>4706104.8</v>
      </c>
      <c r="L38" s="55">
        <f>4437062*($B$4)*$L$7</f>
        <v>17450517.794610225</v>
      </c>
      <c r="M38" s="55">
        <f t="shared" si="5"/>
        <v>0</v>
      </c>
      <c r="N38" s="55">
        <f t="shared" si="6"/>
        <v>0</v>
      </c>
      <c r="O38" s="55">
        <f>0*($B$4)*$O$7</f>
        <v>0</v>
      </c>
      <c r="P38" s="55">
        <f>0*($B$4)*$P$7</f>
        <v>0</v>
      </c>
      <c r="Q38" s="55">
        <f>72236*($B$4)*$Q$7</f>
        <v>500675.82645528793</v>
      </c>
      <c r="R38" s="56">
        <f t="shared" si="3"/>
        <v>500675.82645528793</v>
      </c>
    </row>
    <row r="39" spans="1:18" x14ac:dyDescent="0.4">
      <c r="A39" s="50" t="s">
        <v>44</v>
      </c>
      <c r="B39" s="51">
        <f t="shared" si="1"/>
        <v>81248246.99688977</v>
      </c>
      <c r="C39" s="52">
        <v>34446.25</v>
      </c>
      <c r="D39" s="53">
        <v>448</v>
      </c>
      <c r="E39" s="54">
        <v>246541.96000000002</v>
      </c>
      <c r="F39" s="54">
        <f t="shared" si="2"/>
        <v>24654.196000000004</v>
      </c>
      <c r="G39" s="47">
        <v>17587653.998286005</v>
      </c>
      <c r="H39" s="55">
        <f>0*($B$4)</f>
        <v>0</v>
      </c>
      <c r="I39" s="55">
        <f>1655081*($B$4)</f>
        <v>3972194.4</v>
      </c>
      <c r="J39" s="55">
        <f>1219233*($B$4)</f>
        <v>2926159.1999999997</v>
      </c>
      <c r="K39" s="55">
        <f>2030295*($B$4)</f>
        <v>4872708</v>
      </c>
      <c r="L39" s="55">
        <f>16150704*($B$4)*$L$7</f>
        <v>63519091.58526127</v>
      </c>
      <c r="M39" s="55">
        <f t="shared" si="5"/>
        <v>0</v>
      </c>
      <c r="N39" s="55">
        <f t="shared" si="6"/>
        <v>0</v>
      </c>
      <c r="O39" s="55">
        <f>125739*($B$4)*$O$7</f>
        <v>694763.33436059137</v>
      </c>
      <c r="P39" s="55">
        <f>249380*($B$4)*$P$7</f>
        <v>1543286.4104341979</v>
      </c>
      <c r="Q39" s="55">
        <f>570526*($B$4)*$Q$7</f>
        <v>3954379.763057611</v>
      </c>
      <c r="R39" s="56">
        <f t="shared" si="3"/>
        <v>6192429.5078523997</v>
      </c>
    </row>
    <row r="40" spans="1:18" x14ac:dyDescent="0.4">
      <c r="A40" s="50" t="s">
        <v>45</v>
      </c>
      <c r="B40" s="51">
        <f t="shared" si="1"/>
        <v>24659215.860593848</v>
      </c>
      <c r="C40" s="52">
        <v>66009.2</v>
      </c>
      <c r="D40" s="53">
        <v>552</v>
      </c>
      <c r="E40" s="54">
        <v>123640.62000000001</v>
      </c>
      <c r="F40" s="54">
        <f t="shared" si="2"/>
        <v>12364.062000000002</v>
      </c>
      <c r="G40" s="47">
        <v>4164517.8234282066</v>
      </c>
      <c r="H40" s="55">
        <f>334840*($B$4)</f>
        <v>803616</v>
      </c>
      <c r="I40" s="55">
        <f>522181*($B$4)</f>
        <v>1253234.3999999999</v>
      </c>
      <c r="J40" s="55">
        <f>765342*($B$4)</f>
        <v>1836820.8</v>
      </c>
      <c r="K40" s="55">
        <f>1897524*($B$4)</f>
        <v>4554057.5999999996</v>
      </c>
      <c r="L40" s="55">
        <f>3805864*($B$4)*$L$7</f>
        <v>14968079.656283019</v>
      </c>
      <c r="M40" s="55">
        <f t="shared" si="5"/>
        <v>0</v>
      </c>
      <c r="N40" s="55">
        <f t="shared" si="6"/>
        <v>0</v>
      </c>
      <c r="O40" s="55">
        <f>334044*($B$4)*$O$7</f>
        <v>1845740.1702188612</v>
      </c>
      <c r="P40" s="55">
        <f>0*($B$4)*$P$7</f>
        <v>0</v>
      </c>
      <c r="Q40" s="55">
        <f>79571*($B$4)*$Q$7</f>
        <v>551515.53500849602</v>
      </c>
      <c r="R40" s="56">
        <f t="shared" si="3"/>
        <v>2397255.7052273573</v>
      </c>
    </row>
    <row r="41" spans="1:18" x14ac:dyDescent="0.4">
      <c r="A41" s="50" t="s">
        <v>46</v>
      </c>
      <c r="B41" s="51">
        <f t="shared" ref="B41:B72" si="7">NPV($B$2,G41:Q41)</f>
        <v>133908869.10184513</v>
      </c>
      <c r="C41" s="52">
        <v>8944031.9100000001</v>
      </c>
      <c r="D41" s="53">
        <v>1086</v>
      </c>
      <c r="E41" s="54">
        <v>519922.49000000011</v>
      </c>
      <c r="F41" s="54">
        <f t="shared" si="2"/>
        <v>51992.249000000011</v>
      </c>
      <c r="G41" s="47">
        <v>72409460.829723939</v>
      </c>
      <c r="H41" s="55">
        <f>0*($B$4)</f>
        <v>0</v>
      </c>
      <c r="I41" s="55">
        <f>1702997*($B$4)</f>
        <v>4087192.8</v>
      </c>
      <c r="J41" s="55">
        <f>1104399*($B$4)</f>
        <v>2650557.6</v>
      </c>
      <c r="K41" s="55">
        <f>1724454*($B$4)</f>
        <v>4138689.5999999996</v>
      </c>
      <c r="L41" s="55">
        <f>8022996*($B$4)*$L$7</f>
        <v>31553634.919702869</v>
      </c>
      <c r="M41" s="55">
        <f>883925*($B$4)*$M$7</f>
        <v>3893554.522022218</v>
      </c>
      <c r="N41" s="55">
        <f>234040*($B$4)*$N$7</f>
        <v>1154619.6796947359</v>
      </c>
      <c r="O41" s="55">
        <f>1412263*($B$4)*$O$7</f>
        <v>7803374.8548508557</v>
      </c>
      <c r="P41" s="55">
        <f>1087717*($B$4)*$P$7</f>
        <v>6731329.1542956708</v>
      </c>
      <c r="Q41" s="55">
        <f>3601198*($B$4)*$Q$7</f>
        <v>24960307.670401599</v>
      </c>
      <c r="R41" s="56">
        <f t="shared" si="3"/>
        <v>44543185.881265081</v>
      </c>
    </row>
    <row r="42" spans="1:18" x14ac:dyDescent="0.4">
      <c r="A42" s="50" t="s">
        <v>47</v>
      </c>
      <c r="B42" s="51">
        <f t="shared" si="7"/>
        <v>21952605.303398244</v>
      </c>
      <c r="C42" s="52">
        <v>49630.080000000002</v>
      </c>
      <c r="D42" s="53">
        <v>330</v>
      </c>
      <c r="E42" s="54">
        <v>85635.610000000015</v>
      </c>
      <c r="F42" s="54">
        <f t="shared" si="2"/>
        <v>8563.5610000000015</v>
      </c>
      <c r="G42" s="47">
        <v>10822299.903208861</v>
      </c>
      <c r="H42" s="55">
        <f>0*($B$4)</f>
        <v>0</v>
      </c>
      <c r="I42" s="55">
        <f>1798086*($B$4)</f>
        <v>4315406.3999999994</v>
      </c>
      <c r="J42" s="55">
        <f>84657*($B$4)</f>
        <v>203176.8</v>
      </c>
      <c r="K42" s="55">
        <f>338581*($B$4)</f>
        <v>812594.4</v>
      </c>
      <c r="L42" s="55">
        <f>1138425*($B$4)*$L$7</f>
        <v>4477310.8242186261</v>
      </c>
      <c r="M42" s="55">
        <f>0*($B$4)*$M$7</f>
        <v>0</v>
      </c>
      <c r="N42" s="55">
        <f>164285*($B$4)*$N$7</f>
        <v>810488.35275444237</v>
      </c>
      <c r="O42" s="55">
        <f>143848*($B$4)*$O$7</f>
        <v>794823.53224617941</v>
      </c>
      <c r="P42" s="55">
        <f>97773*($B$4)*$P$7</f>
        <v>605067.53631960391</v>
      </c>
      <c r="Q42" s="55">
        <f>393287*($B$4)*$Q$7</f>
        <v>2725916.3541602637</v>
      </c>
      <c r="R42" s="56">
        <f t="shared" si="3"/>
        <v>4936295.7754804902</v>
      </c>
    </row>
    <row r="43" spans="1:18" x14ac:dyDescent="0.4">
      <c r="A43" s="50" t="s">
        <v>48</v>
      </c>
      <c r="B43" s="51">
        <f t="shared" si="7"/>
        <v>49510825.921240851</v>
      </c>
      <c r="C43" s="52">
        <v>78677.429999999993</v>
      </c>
      <c r="D43" s="53">
        <v>565</v>
      </c>
      <c r="E43" s="54">
        <v>90540.62000000001</v>
      </c>
      <c r="F43" s="54">
        <f t="shared" si="2"/>
        <v>9054.0620000000017</v>
      </c>
      <c r="G43" s="47">
        <v>8059174.0955012385</v>
      </c>
      <c r="H43" s="55">
        <f>486154*($B$4)</f>
        <v>1166769.5999999999</v>
      </c>
      <c r="I43" s="55">
        <f>2015375*($B$4)</f>
        <v>4836900</v>
      </c>
      <c r="J43" s="55">
        <f>369944*($B$4)</f>
        <v>887865.6</v>
      </c>
      <c r="K43" s="55">
        <f>904636*($B$4)</f>
        <v>2171126.4</v>
      </c>
      <c r="L43" s="55">
        <f>69461*($B$4)*$L$7</f>
        <v>273183.11453196302</v>
      </c>
      <c r="M43" s="55">
        <f>491948*($B$4)*$M$7</f>
        <v>2166955.7485078326</v>
      </c>
      <c r="N43" s="55">
        <f>503606*($B$4)*$N$7</f>
        <v>2484504.3514456809</v>
      </c>
      <c r="O43" s="55">
        <f>2654617*($B$4)*$O$7</f>
        <v>14667927.678527027</v>
      </c>
      <c r="P43" s="55">
        <f>222359*($B$4)*$P$7</f>
        <v>1376067.1382538206</v>
      </c>
      <c r="Q43" s="55">
        <f>4203680*($B$4)*$Q$7</f>
        <v>29136178.057389181</v>
      </c>
      <c r="R43" s="56">
        <f t="shared" si="3"/>
        <v>49831632.974123538</v>
      </c>
    </row>
    <row r="44" spans="1:18" x14ac:dyDescent="0.4">
      <c r="A44" s="50" t="s">
        <v>49</v>
      </c>
      <c r="B44" s="51">
        <f t="shared" si="7"/>
        <v>20065286.688980516</v>
      </c>
      <c r="C44" s="52">
        <v>76538.95</v>
      </c>
      <c r="D44" s="53">
        <v>361</v>
      </c>
      <c r="E44" s="54">
        <v>91729.459999999992</v>
      </c>
      <c r="F44" s="54">
        <f t="shared" si="2"/>
        <v>9172.9459999999999</v>
      </c>
      <c r="G44" s="47">
        <v>8143962.7542172456</v>
      </c>
      <c r="H44" s="55">
        <f>0*($B$4)</f>
        <v>0</v>
      </c>
      <c r="I44" s="55">
        <f>18646*($B$4)</f>
        <v>44750.400000000001</v>
      </c>
      <c r="J44" s="55">
        <f>5724*($B$4)</f>
        <v>13737.6</v>
      </c>
      <c r="K44" s="55">
        <f>438045*($B$4)</f>
        <v>1051308</v>
      </c>
      <c r="L44" s="55">
        <f>2753074*($B$4)*$L$7</f>
        <v>10827562.659002455</v>
      </c>
      <c r="M44" s="55">
        <f t="shared" ref="M44:M53" si="8">0*($B$4)*$M$7</f>
        <v>0</v>
      </c>
      <c r="N44" s="55">
        <f>0*($B$4)*$N$7</f>
        <v>0</v>
      </c>
      <c r="O44" s="55">
        <f>0*($B$4)*$O$7</f>
        <v>0</v>
      </c>
      <c r="P44" s="55">
        <f>15821*($B$4)*$P$7</f>
        <v>97908.149408450743</v>
      </c>
      <c r="Q44" s="55">
        <f>598715*($B$4)*$Q$7</f>
        <v>4149760.887039395</v>
      </c>
      <c r="R44" s="56">
        <f t="shared" si="3"/>
        <v>4247669.0364478454</v>
      </c>
    </row>
    <row r="45" spans="1:18" x14ac:dyDescent="0.4">
      <c r="A45" s="50" t="s">
        <v>50</v>
      </c>
      <c r="B45" s="51">
        <f t="shared" si="7"/>
        <v>52895656.406676315</v>
      </c>
      <c r="C45" s="52">
        <v>93332.1</v>
      </c>
      <c r="D45" s="53">
        <v>744</v>
      </c>
      <c r="E45" s="54">
        <v>252867.25000000003</v>
      </c>
      <c r="F45" s="54">
        <f t="shared" si="2"/>
        <v>25286.725000000006</v>
      </c>
      <c r="G45" s="47">
        <v>30465205.114457428</v>
      </c>
      <c r="H45" s="55">
        <f>70415*($B$4)</f>
        <v>168996</v>
      </c>
      <c r="I45" s="55">
        <f>883994*($B$4)</f>
        <v>2121585.6</v>
      </c>
      <c r="J45" s="55">
        <f>168801*($B$4)</f>
        <v>405122.39999999997</v>
      </c>
      <c r="K45" s="55">
        <f>140728*($B$4)</f>
        <v>337747.20000000001</v>
      </c>
      <c r="L45" s="55">
        <f>4488782*($B$4)*$L$7</f>
        <v>17653927.34361748</v>
      </c>
      <c r="M45" s="55">
        <f t="shared" si="8"/>
        <v>0</v>
      </c>
      <c r="N45" s="55">
        <f>0*($B$4)*$N$7</f>
        <v>0</v>
      </c>
      <c r="O45" s="55">
        <f>0*($B$4)*$O$7</f>
        <v>0</v>
      </c>
      <c r="P45" s="55">
        <f>484680*($B$4)*$P$7</f>
        <v>2999438.8379551168</v>
      </c>
      <c r="Q45" s="55">
        <f>1101097*($B$4)*$Q$7</f>
        <v>7631826.93507999</v>
      </c>
      <c r="R45" s="56">
        <f t="shared" si="3"/>
        <v>10631265.773035107</v>
      </c>
    </row>
    <row r="46" spans="1:18" x14ac:dyDescent="0.4">
      <c r="A46" s="50" t="s">
        <v>51</v>
      </c>
      <c r="B46" s="51">
        <f t="shared" si="7"/>
        <v>6240455.7049596896</v>
      </c>
      <c r="C46" s="52">
        <v>24667.09</v>
      </c>
      <c r="D46" s="53">
        <v>394</v>
      </c>
      <c r="E46" s="54">
        <v>41665.25</v>
      </c>
      <c r="F46" s="54">
        <f t="shared" si="2"/>
        <v>4166.5250000000005</v>
      </c>
      <c r="G46" s="47">
        <v>0</v>
      </c>
      <c r="H46" s="55">
        <f t="shared" ref="H46:K47" si="9">0*($B$4)</f>
        <v>0</v>
      </c>
      <c r="I46" s="55">
        <f t="shared" si="9"/>
        <v>0</v>
      </c>
      <c r="J46" s="55">
        <f t="shared" si="9"/>
        <v>0</v>
      </c>
      <c r="K46" s="55">
        <f t="shared" si="9"/>
        <v>0</v>
      </c>
      <c r="L46" s="55">
        <f>115200*($B$4)*$L$7</f>
        <v>453069.99314841622</v>
      </c>
      <c r="M46" s="55">
        <f t="shared" si="8"/>
        <v>0</v>
      </c>
      <c r="N46" s="55">
        <f>246410*($B$4)*$N$7</f>
        <v>1215646.1941274137</v>
      </c>
      <c r="O46" s="55">
        <f>93378*($B$4)*$O$7</f>
        <v>515954.56171850656</v>
      </c>
      <c r="P46" s="55">
        <f>14828*($B$4)*$P$7</f>
        <v>91762.975755546897</v>
      </c>
      <c r="Q46" s="55">
        <f>1014951*($B$4)*$Q$7</f>
        <v>7034739.3368489528</v>
      </c>
      <c r="R46" s="56">
        <f t="shared" si="3"/>
        <v>8858103.0684504192</v>
      </c>
    </row>
    <row r="47" spans="1:18" s="57" customFormat="1" x14ac:dyDescent="0.4">
      <c r="A47" s="50" t="s">
        <v>125</v>
      </c>
      <c r="B47" s="51">
        <f t="shared" si="7"/>
        <v>0</v>
      </c>
      <c r="C47" s="52">
        <v>25187.65</v>
      </c>
      <c r="D47" s="53">
        <v>201</v>
      </c>
      <c r="E47" s="54">
        <v>0</v>
      </c>
      <c r="F47" s="54">
        <f t="shared" si="2"/>
        <v>0</v>
      </c>
      <c r="G47" s="47">
        <v>0</v>
      </c>
      <c r="H47" s="55">
        <f t="shared" si="9"/>
        <v>0</v>
      </c>
      <c r="I47" s="55">
        <f t="shared" si="9"/>
        <v>0</v>
      </c>
      <c r="J47" s="55">
        <f t="shared" si="9"/>
        <v>0</v>
      </c>
      <c r="K47" s="55">
        <f t="shared" si="9"/>
        <v>0</v>
      </c>
      <c r="L47" s="55">
        <f>0*($B$4)*$L$7</f>
        <v>0</v>
      </c>
      <c r="M47" s="55">
        <f t="shared" si="8"/>
        <v>0</v>
      </c>
      <c r="N47" s="55">
        <f>0*($B$4)*$N$7</f>
        <v>0</v>
      </c>
      <c r="O47" s="55">
        <f>0*($B$4)*$O$7</f>
        <v>0</v>
      </c>
      <c r="P47" s="55">
        <f>0*($B$4)*$P$7</f>
        <v>0</v>
      </c>
      <c r="Q47" s="55">
        <f>0*($B$4)*$Q$7</f>
        <v>0</v>
      </c>
      <c r="R47" s="56">
        <f t="shared" si="3"/>
        <v>0</v>
      </c>
    </row>
    <row r="48" spans="1:18" x14ac:dyDescent="0.4">
      <c r="A48" s="50" t="s">
        <v>52</v>
      </c>
      <c r="B48" s="51">
        <f t="shared" si="7"/>
        <v>54049005.819063373</v>
      </c>
      <c r="C48" s="52">
        <v>60066.15</v>
      </c>
      <c r="D48" s="53">
        <v>319</v>
      </c>
      <c r="E48" s="54">
        <v>146531.36000000002</v>
      </c>
      <c r="F48" s="54">
        <f t="shared" si="2"/>
        <v>14653.136000000002</v>
      </c>
      <c r="G48" s="47">
        <v>17747031.258846927</v>
      </c>
      <c r="H48" s="55">
        <f t="shared" ref="H48:H54" si="10">0*($B$4)</f>
        <v>0</v>
      </c>
      <c r="I48" s="55">
        <f>40738*($B$4)</f>
        <v>97771.199999999997</v>
      </c>
      <c r="J48" s="55">
        <f>164109*($B$4)</f>
        <v>393861.6</v>
      </c>
      <c r="K48" s="55">
        <f>754605*($B$4)</f>
        <v>1811052</v>
      </c>
      <c r="L48" s="55">
        <f>4898509*($B$4)*$L$7</f>
        <v>19265342.353016105</v>
      </c>
      <c r="M48" s="55">
        <f t="shared" si="8"/>
        <v>0</v>
      </c>
      <c r="N48" s="55">
        <f>0*($B$4)*$N$7</f>
        <v>0</v>
      </c>
      <c r="O48" s="55">
        <f>196564*($B$4)*$O$7</f>
        <v>1086102.6416247566</v>
      </c>
      <c r="P48" s="55">
        <f>15085*($B$4)*$P$7</f>
        <v>93353.418483438436</v>
      </c>
      <c r="Q48" s="55">
        <f>4224619*($B$4)*$Q$7</f>
        <v>29281308.617361315</v>
      </c>
      <c r="R48" s="56">
        <f t="shared" si="3"/>
        <v>30460764.677469511</v>
      </c>
    </row>
    <row r="49" spans="1:18" x14ac:dyDescent="0.4">
      <c r="A49" s="50" t="s">
        <v>0</v>
      </c>
      <c r="B49" s="51">
        <f t="shared" si="7"/>
        <v>50107696.224387378</v>
      </c>
      <c r="C49" s="52">
        <v>47170.33</v>
      </c>
      <c r="D49" s="53">
        <v>427</v>
      </c>
      <c r="E49" s="54">
        <v>185563.50999999998</v>
      </c>
      <c r="F49" s="54">
        <f t="shared" si="2"/>
        <v>18556.350999999999</v>
      </c>
      <c r="G49" s="47">
        <v>17663481.814073693</v>
      </c>
      <c r="H49" s="55">
        <f t="shared" si="10"/>
        <v>0</v>
      </c>
      <c r="I49" s="55">
        <f>643220*($B$4)</f>
        <v>1543728</v>
      </c>
      <c r="J49" s="55">
        <f>578210*($B$4)</f>
        <v>1387704</v>
      </c>
      <c r="K49" s="55">
        <f>1224358*($B$4)</f>
        <v>2938459.1999999997</v>
      </c>
      <c r="L49" s="55">
        <f>5775035*($B$4)*$L$7</f>
        <v>22712630.797585621</v>
      </c>
      <c r="M49" s="55">
        <f t="shared" si="8"/>
        <v>0</v>
      </c>
      <c r="N49" s="55">
        <f>720880*($B$4)*$N$7</f>
        <v>3556410.1636401522</v>
      </c>
      <c r="O49" s="55">
        <f>0*($B$4)*$O$7</f>
        <v>0</v>
      </c>
      <c r="P49" s="55">
        <f>331419*($B$4)*$P$7</f>
        <v>2050984.1962454545</v>
      </c>
      <c r="Q49" s="55">
        <f>1380504*($B$4)*$Q$7</f>
        <v>9568428.2231135555</v>
      </c>
      <c r="R49" s="56">
        <f t="shared" si="3"/>
        <v>15175822.582999162</v>
      </c>
    </row>
    <row r="50" spans="1:18" x14ac:dyDescent="0.4">
      <c r="A50" s="50" t="s">
        <v>53</v>
      </c>
      <c r="B50" s="51">
        <f t="shared" si="7"/>
        <v>18642967.489294458</v>
      </c>
      <c r="C50" s="52">
        <v>35121.480000000003</v>
      </c>
      <c r="D50" s="53">
        <v>165</v>
      </c>
      <c r="E50" s="54">
        <v>84046</v>
      </c>
      <c r="F50" s="54">
        <f t="shared" si="2"/>
        <v>8404.6</v>
      </c>
      <c r="G50" s="47">
        <v>10835349.9535721</v>
      </c>
      <c r="H50" s="55">
        <f t="shared" si="10"/>
        <v>0</v>
      </c>
      <c r="I50" s="55">
        <f>201794*($B$4)</f>
        <v>484305.6</v>
      </c>
      <c r="J50" s="55">
        <f>91508*($B$4)</f>
        <v>219619.19999999998</v>
      </c>
      <c r="K50" s="55">
        <f>169975*($B$4)</f>
        <v>407940</v>
      </c>
      <c r="L50" s="55">
        <f>473115*($B$4)*$L$7</f>
        <v>1860713.62680914</v>
      </c>
      <c r="M50" s="55">
        <f t="shared" si="8"/>
        <v>0</v>
      </c>
      <c r="N50" s="55">
        <f>0*($B$4)*$N$7</f>
        <v>0</v>
      </c>
      <c r="O50" s="55">
        <f>89970*($B$4)*$O$7</f>
        <v>497123.86127154191</v>
      </c>
      <c r="P50" s="55">
        <f>0*($B$4)*$P$7</f>
        <v>0</v>
      </c>
      <c r="Q50" s="55">
        <f>1210702*($B$4)*$Q$7</f>
        <v>8391511.4962216895</v>
      </c>
      <c r="R50" s="56">
        <f t="shared" si="3"/>
        <v>8888635.3574932311</v>
      </c>
    </row>
    <row r="51" spans="1:18" x14ac:dyDescent="0.4">
      <c r="A51" s="50" t="s">
        <v>54</v>
      </c>
      <c r="B51" s="51">
        <f t="shared" si="7"/>
        <v>65678052.648393996</v>
      </c>
      <c r="C51" s="52">
        <v>70157.41</v>
      </c>
      <c r="D51" s="53">
        <v>576</v>
      </c>
      <c r="E51" s="54">
        <v>263043.10000000003</v>
      </c>
      <c r="F51" s="54">
        <f t="shared" si="2"/>
        <v>26304.310000000005</v>
      </c>
      <c r="G51" s="47">
        <v>10664756.554444108</v>
      </c>
      <c r="H51" s="55">
        <f t="shared" si="10"/>
        <v>0</v>
      </c>
      <c r="I51" s="55">
        <f>0*($B$4)</f>
        <v>0</v>
      </c>
      <c r="J51" s="55">
        <f>0*($B$4)</f>
        <v>0</v>
      </c>
      <c r="K51" s="55">
        <f>1763819*($B$4)</f>
        <v>4233165.5999999996</v>
      </c>
      <c r="L51" s="55">
        <f>4255929*($B$4)*$L$7</f>
        <v>16738139.955470016</v>
      </c>
      <c r="M51" s="55">
        <f t="shared" si="8"/>
        <v>0</v>
      </c>
      <c r="N51" s="55">
        <f>163612*($B$4)*$N$7</f>
        <v>807168.15516243014</v>
      </c>
      <c r="O51" s="55">
        <f>431639*($B$4)*$O$7</f>
        <v>2384995.5135643776</v>
      </c>
      <c r="P51" s="55">
        <f>0*($B$4)*$P$7</f>
        <v>0</v>
      </c>
      <c r="Q51" s="55">
        <f>8095890*($B$4)*$Q$7</f>
        <v>56113522.573801167</v>
      </c>
      <c r="R51" s="56">
        <f t="shared" si="3"/>
        <v>59305686.242527977</v>
      </c>
    </row>
    <row r="52" spans="1:18" s="57" customFormat="1" x14ac:dyDescent="0.4">
      <c r="A52" s="50" t="s">
        <v>55</v>
      </c>
      <c r="B52" s="51">
        <f t="shared" si="7"/>
        <v>8915952.6176074017</v>
      </c>
      <c r="C52" s="52">
        <v>30482.99</v>
      </c>
      <c r="D52" s="53">
        <v>202</v>
      </c>
      <c r="E52" s="54">
        <v>68652.36</v>
      </c>
      <c r="F52" s="54">
        <f t="shared" si="2"/>
        <v>6865.2360000000008</v>
      </c>
      <c r="G52" s="47">
        <v>0</v>
      </c>
      <c r="H52" s="55">
        <f t="shared" si="10"/>
        <v>0</v>
      </c>
      <c r="I52" s="55">
        <f>378388*($B$4)</f>
        <v>908131.2</v>
      </c>
      <c r="J52" s="55">
        <f>0*($B$4)</f>
        <v>0</v>
      </c>
      <c r="K52" s="55">
        <f>0*($B$4)</f>
        <v>0</v>
      </c>
      <c r="L52" s="55">
        <f>0*($B$4)*$L$7</f>
        <v>0</v>
      </c>
      <c r="M52" s="55">
        <f t="shared" si="8"/>
        <v>0</v>
      </c>
      <c r="N52" s="55">
        <f>155537*($B$4)*$N$7</f>
        <v>767330.71748709679</v>
      </c>
      <c r="O52" s="55">
        <f>331627*($B$4)*$O$7</f>
        <v>1832385.181081445</v>
      </c>
      <c r="P52" s="55">
        <f>0*($B$4)*$P$7</f>
        <v>0</v>
      </c>
      <c r="Q52" s="55">
        <f>1390514*($B$4)*$Q$7</f>
        <v>9637808.6570082549</v>
      </c>
      <c r="R52" s="56">
        <f t="shared" si="3"/>
        <v>12237524.555576798</v>
      </c>
    </row>
    <row r="53" spans="1:18" x14ac:dyDescent="0.4">
      <c r="A53" s="50" t="s">
        <v>56</v>
      </c>
      <c r="B53" s="51">
        <f t="shared" si="7"/>
        <v>25602983.931503944</v>
      </c>
      <c r="C53" s="52">
        <v>54222.04</v>
      </c>
      <c r="D53" s="53">
        <v>395</v>
      </c>
      <c r="E53" s="54">
        <v>109015.08</v>
      </c>
      <c r="F53" s="54">
        <f t="shared" si="2"/>
        <v>10901.508000000002</v>
      </c>
      <c r="G53" s="47">
        <v>8796702.7357140146</v>
      </c>
      <c r="H53" s="55">
        <f t="shared" si="10"/>
        <v>0</v>
      </c>
      <c r="I53" s="55">
        <f>7493*($B$4)</f>
        <v>17983.2</v>
      </c>
      <c r="J53" s="55">
        <f>23289*($B$4)</f>
        <v>55893.599999999999</v>
      </c>
      <c r="K53" s="55">
        <f>1111175*($B$4)</f>
        <v>2666820</v>
      </c>
      <c r="L53" s="55">
        <f>3719057*($B$4)*$L$7</f>
        <v>14626676.471428551</v>
      </c>
      <c r="M53" s="55">
        <f t="shared" si="8"/>
        <v>0</v>
      </c>
      <c r="N53" s="55">
        <f>3707*($B$4)*$N$7</f>
        <v>18288.220614546171</v>
      </c>
      <c r="O53" s="55">
        <f>78331*($B$4)*$O$7</f>
        <v>432813.26194577245</v>
      </c>
      <c r="P53" s="55">
        <f>22882*($B$4)*$P$7</f>
        <v>141605.09922028758</v>
      </c>
      <c r="Q53" s="55">
        <f>647695*($B$4)*$Q$7</f>
        <v>4489246.7663762905</v>
      </c>
      <c r="R53" s="56">
        <f t="shared" si="3"/>
        <v>5081953.3481568964</v>
      </c>
    </row>
    <row r="54" spans="1:18" x14ac:dyDescent="0.4">
      <c r="A54" s="50" t="s">
        <v>57</v>
      </c>
      <c r="B54" s="51">
        <f t="shared" si="7"/>
        <v>25208200.471329782</v>
      </c>
      <c r="C54" s="52">
        <v>98653.48</v>
      </c>
      <c r="D54" s="53">
        <v>276</v>
      </c>
      <c r="E54" s="54">
        <v>115941.56</v>
      </c>
      <c r="F54" s="54">
        <f t="shared" si="2"/>
        <v>11594.156000000001</v>
      </c>
      <c r="G54" s="47">
        <v>0</v>
      </c>
      <c r="H54" s="55">
        <f t="shared" si="10"/>
        <v>0</v>
      </c>
      <c r="I54" s="55">
        <f>0*($B$4)</f>
        <v>0</v>
      </c>
      <c r="J54" s="55">
        <f>1100748*($B$4)</f>
        <v>2641795.1999999997</v>
      </c>
      <c r="K54" s="55">
        <f>0*($B$4)</f>
        <v>0</v>
      </c>
      <c r="L54" s="55">
        <f>1652949*($B$4)*$L$7</f>
        <v>6500881.8759086924</v>
      </c>
      <c r="M54" s="55">
        <f>127336*($B$4)*$M$7</f>
        <v>560895.61740670423</v>
      </c>
      <c r="N54" s="55">
        <f>40738*($B$4)*$N$7</f>
        <v>200978.02303625087</v>
      </c>
      <c r="O54" s="55">
        <f>1797421*($B$4)*$O$7</f>
        <v>9931542.3791325558</v>
      </c>
      <c r="P54" s="55">
        <f>592222*($B$4)*$P$7</f>
        <v>3664961.7634139131</v>
      </c>
      <c r="Q54" s="55">
        <f>1729213*($B$4)*$Q$7</f>
        <v>11985369.454181125</v>
      </c>
      <c r="R54" s="56">
        <f t="shared" si="3"/>
        <v>26343747.237170547</v>
      </c>
    </row>
    <row r="55" spans="1:18" x14ac:dyDescent="0.4">
      <c r="A55" s="50" t="s">
        <v>58</v>
      </c>
      <c r="B55" s="51">
        <f t="shared" si="7"/>
        <v>19394732.987752061</v>
      </c>
      <c r="C55" s="52">
        <v>53593.87</v>
      </c>
      <c r="D55" s="53">
        <v>432</v>
      </c>
      <c r="E55" s="54">
        <v>79957.22</v>
      </c>
      <c r="F55" s="54">
        <f t="shared" si="2"/>
        <v>7995.7220000000007</v>
      </c>
      <c r="G55" s="47">
        <v>4199438.4530256046</v>
      </c>
      <c r="H55" s="55">
        <f>1464888*($B$4)</f>
        <v>3515731.1999999997</v>
      </c>
      <c r="I55" s="55">
        <f>356281*($B$4)</f>
        <v>855074.4</v>
      </c>
      <c r="J55" s="55">
        <f>186202*($B$4)</f>
        <v>446884.8</v>
      </c>
      <c r="K55" s="55">
        <f>691007*($B$4)</f>
        <v>1658416.8</v>
      </c>
      <c r="L55" s="55">
        <f>1407567*($B$4)*$L$7</f>
        <v>5535819.19310709</v>
      </c>
      <c r="M55" s="55">
        <f>0*($B$4)*$M$7</f>
        <v>0</v>
      </c>
      <c r="N55" s="55">
        <f>0*($B$4)*$N$7</f>
        <v>0</v>
      </c>
      <c r="O55" s="55">
        <f>11133*($B$4)*$O$7</f>
        <v>61514.726548139115</v>
      </c>
      <c r="P55" s="55">
        <f>92890*($B$4)*$P$7</f>
        <v>574849.12448966492</v>
      </c>
      <c r="Q55" s="55">
        <f>1064887*($B$4)*$Q$7</f>
        <v>7380851.3595228447</v>
      </c>
      <c r="R55" s="56">
        <f t="shared" si="3"/>
        <v>8017215.2105606487</v>
      </c>
    </row>
    <row r="56" spans="1:18" x14ac:dyDescent="0.4">
      <c r="A56" s="50" t="s">
        <v>59</v>
      </c>
      <c r="B56" s="51">
        <f t="shared" si="7"/>
        <v>23714631.853361949</v>
      </c>
      <c r="C56" s="52">
        <v>74073.27</v>
      </c>
      <c r="D56" s="53">
        <v>323</v>
      </c>
      <c r="E56" s="54">
        <v>104780.12999999999</v>
      </c>
      <c r="F56" s="54">
        <f t="shared" si="2"/>
        <v>10478.012999999999</v>
      </c>
      <c r="G56" s="47">
        <v>12571582.226057563</v>
      </c>
      <c r="H56" s="55">
        <f>211321*($B$4)</f>
        <v>507170.39999999997</v>
      </c>
      <c r="I56" s="55">
        <f>353957*($B$4)</f>
        <v>849496.79999999993</v>
      </c>
      <c r="J56" s="55">
        <f>272209*($B$4)</f>
        <v>653301.6</v>
      </c>
      <c r="K56" s="55">
        <f>214520*($B$4)</f>
        <v>514848</v>
      </c>
      <c r="L56" s="55">
        <f>900504*($B$4)*$L$7</f>
        <v>3541591.5026920261</v>
      </c>
      <c r="M56" s="55">
        <f>136268*($B$4)*$M$7</f>
        <v>600239.71220060939</v>
      </c>
      <c r="N56" s="55">
        <f>0*($B$4)*$N$7</f>
        <v>0</v>
      </c>
      <c r="O56" s="55">
        <f>355387*($B$4)*$O$7</f>
        <v>1963669.6419440862</v>
      </c>
      <c r="P56" s="55">
        <f>322614*($B$4)*$P$7</f>
        <v>1996494.514459132</v>
      </c>
      <c r="Q56" s="55">
        <f>763460*($B$4)*$Q$7</f>
        <v>5291626.9791454971</v>
      </c>
      <c r="R56" s="56">
        <f t="shared" si="3"/>
        <v>9852030.8477493245</v>
      </c>
    </row>
    <row r="57" spans="1:18" x14ac:dyDescent="0.4">
      <c r="A57" s="50" t="s">
        <v>60</v>
      </c>
      <c r="B57" s="51">
        <f t="shared" si="7"/>
        <v>30261451.098518301</v>
      </c>
      <c r="C57" s="52">
        <v>48141.04</v>
      </c>
      <c r="D57" s="53">
        <v>347</v>
      </c>
      <c r="E57" s="54">
        <v>102470.63999999998</v>
      </c>
      <c r="F57" s="54">
        <f t="shared" si="2"/>
        <v>10247.063999999998</v>
      </c>
      <c r="G57" s="47">
        <v>12093797.276133625</v>
      </c>
      <c r="H57" s="55">
        <f>0*($B$4)</f>
        <v>0</v>
      </c>
      <c r="I57" s="55">
        <f>0*($B$4)</f>
        <v>0</v>
      </c>
      <c r="J57" s="55">
        <f>301805*($B$4)</f>
        <v>724332</v>
      </c>
      <c r="K57" s="55">
        <f>3006138*($B$4)</f>
        <v>7214731.2000000002</v>
      </c>
      <c r="L57" s="55">
        <f>1700598*($B$4)*$L$7</f>
        <v>6688280.5920851585</v>
      </c>
      <c r="M57" s="55">
        <f>375177*($B$4)*$M$7</f>
        <v>1652597.3413001436</v>
      </c>
      <c r="N57" s="55">
        <f>0*($B$4)*$N$7</f>
        <v>0</v>
      </c>
      <c r="O57" s="55">
        <f>558937*($B$4)*$O$7</f>
        <v>3088373.009309012</v>
      </c>
      <c r="P57" s="55">
        <f>228600*($B$4)*$P$7</f>
        <v>1414689.5237198558</v>
      </c>
      <c r="Q57" s="55">
        <f>536703*($B$4)*$Q$7</f>
        <v>3719948.7525061243</v>
      </c>
      <c r="R57" s="56">
        <f t="shared" si="3"/>
        <v>9875608.6268351357</v>
      </c>
    </row>
    <row r="58" spans="1:18" x14ac:dyDescent="0.4">
      <c r="A58" s="50" t="s">
        <v>61</v>
      </c>
      <c r="B58" s="51">
        <f t="shared" si="7"/>
        <v>38307246.512660325</v>
      </c>
      <c r="C58" s="52">
        <v>55735.13</v>
      </c>
      <c r="D58" s="53">
        <v>494</v>
      </c>
      <c r="E58" s="54">
        <v>83758.260000000009</v>
      </c>
      <c r="F58" s="54">
        <f t="shared" si="2"/>
        <v>8375.8260000000009</v>
      </c>
      <c r="G58" s="47">
        <v>10545921.337325592</v>
      </c>
      <c r="H58" s="55">
        <f>987623*($B$4)</f>
        <v>2370295.1999999997</v>
      </c>
      <c r="I58" s="55">
        <f>2137015*($B$4)</f>
        <v>5128836</v>
      </c>
      <c r="J58" s="55">
        <f>294166*($B$4)</f>
        <v>705998.4</v>
      </c>
      <c r="K58" s="55">
        <f>1654161*($B$4)</f>
        <v>3969986.4</v>
      </c>
      <c r="L58" s="55">
        <f>3088753*($B$4)*$L$7</f>
        <v>12147754.345027344</v>
      </c>
      <c r="M58" s="55">
        <f>0*($B$4)*$M$7</f>
        <v>0</v>
      </c>
      <c r="N58" s="55">
        <f>0*($B$4)*$N$7</f>
        <v>0</v>
      </c>
      <c r="O58" s="55">
        <f>0*($B$4)*$O$7</f>
        <v>0</v>
      </c>
      <c r="P58" s="55">
        <f>124324*($B$4)*$P$7</f>
        <v>769378.21674080205</v>
      </c>
      <c r="Q58" s="55">
        <f>1650063*($B$4)*$Q$7</f>
        <v>11436771.917441327</v>
      </c>
      <c r="R58" s="56">
        <f t="shared" si="3"/>
        <v>12206150.134182129</v>
      </c>
    </row>
    <row r="59" spans="1:18" x14ac:dyDescent="0.4">
      <c r="A59" s="50" t="s">
        <v>62</v>
      </c>
      <c r="B59" s="51">
        <f t="shared" si="7"/>
        <v>34861608.832685925</v>
      </c>
      <c r="C59" s="52">
        <v>36121.54</v>
      </c>
      <c r="D59" s="53">
        <v>468</v>
      </c>
      <c r="E59" s="54">
        <v>123425.00000000001</v>
      </c>
      <c r="F59" s="54">
        <f t="shared" si="2"/>
        <v>12342.500000000002</v>
      </c>
      <c r="G59" s="47">
        <v>4477970.6134950584</v>
      </c>
      <c r="H59" s="55">
        <f>747569*($B$4)</f>
        <v>1794165.5999999999</v>
      </c>
      <c r="I59" s="55">
        <f>2250682*($B$4)</f>
        <v>5401636.7999999998</v>
      </c>
      <c r="J59" s="55">
        <f>281660*($B$4)</f>
        <v>675984</v>
      </c>
      <c r="K59" s="55">
        <f>931527*($B$4)</f>
        <v>2235664.7999999998</v>
      </c>
      <c r="L59" s="55">
        <f>2311757*($B$4)*$L$7</f>
        <v>9091907.3624201659</v>
      </c>
      <c r="M59" s="55">
        <f>0*($B$4)*$M$7</f>
        <v>0</v>
      </c>
      <c r="N59" s="55">
        <f>50846*($B$4)*$N$7</f>
        <v>250845.12149102095</v>
      </c>
      <c r="O59" s="55">
        <f>230767*($B$4)*$O$7</f>
        <v>1275089.2752478593</v>
      </c>
      <c r="P59" s="55">
        <f>274475*($B$4)*$P$7</f>
        <v>1698586.6448950456</v>
      </c>
      <c r="Q59" s="55">
        <f>2724711*($B$4)*$Q$7</f>
        <v>18885277.86390185</v>
      </c>
      <c r="R59" s="56">
        <f t="shared" si="3"/>
        <v>22109798.905535776</v>
      </c>
    </row>
    <row r="60" spans="1:18" x14ac:dyDescent="0.4">
      <c r="A60" s="50" t="s">
        <v>63</v>
      </c>
      <c r="B60" s="51">
        <f t="shared" si="7"/>
        <v>36229653.586089626</v>
      </c>
      <c r="C60" s="52">
        <v>59135.07</v>
      </c>
      <c r="D60" s="53">
        <v>392</v>
      </c>
      <c r="E60" s="54">
        <v>138446.76999999999</v>
      </c>
      <c r="F60" s="54">
        <f t="shared" si="2"/>
        <v>13844.677</v>
      </c>
      <c r="G60" s="47">
        <v>7445549.3178694583</v>
      </c>
      <c r="H60" s="55">
        <f>4747*($B$4)</f>
        <v>11392.8</v>
      </c>
      <c r="I60" s="55">
        <f>1057427*($B$4)</f>
        <v>2537824.7999999998</v>
      </c>
      <c r="J60" s="55">
        <f>667733*($B$4)</f>
        <v>1602559.2</v>
      </c>
      <c r="K60" s="55">
        <f>987557*($B$4)</f>
        <v>2370136.7999999998</v>
      </c>
      <c r="L60" s="55">
        <f>5322685*($B$4)*$L$7</f>
        <v>20933583.823621333</v>
      </c>
      <c r="M60" s="55">
        <f>10082*($B$4)*$M$7</f>
        <v>44409.669022856011</v>
      </c>
      <c r="N60" s="55">
        <f>40200*($B$4)*$N$7</f>
        <v>198323.83833416674</v>
      </c>
      <c r="O60" s="55">
        <f>379649*($B$4)*$O$7</f>
        <v>2097727.8738232702</v>
      </c>
      <c r="P60" s="55">
        <f>355141*($B$4)*$P$7</f>
        <v>2197787.6296736365</v>
      </c>
      <c r="Q60" s="55">
        <f>845011*($B$4)*$Q$7</f>
        <v>5856866.1164628342</v>
      </c>
      <c r="R60" s="56">
        <f t="shared" si="3"/>
        <v>10395115.127316764</v>
      </c>
    </row>
    <row r="61" spans="1:18" x14ac:dyDescent="0.4">
      <c r="A61" s="50" t="s">
        <v>64</v>
      </c>
      <c r="B61" s="51">
        <f t="shared" si="7"/>
        <v>24035445.140599277</v>
      </c>
      <c r="C61" s="52">
        <v>104162.03</v>
      </c>
      <c r="D61" s="53">
        <v>288</v>
      </c>
      <c r="E61" s="54">
        <v>96652.489999999991</v>
      </c>
      <c r="F61" s="54">
        <f t="shared" si="2"/>
        <v>9665.2489999999998</v>
      </c>
      <c r="G61" s="47">
        <v>6760523.2886494845</v>
      </c>
      <c r="H61" s="55">
        <f>0*($B$4)</f>
        <v>0</v>
      </c>
      <c r="I61" s="55">
        <f>2465675*($B$4)</f>
        <v>5917620</v>
      </c>
      <c r="J61" s="55">
        <f>2528*($B$4)</f>
        <v>6067.2</v>
      </c>
      <c r="K61" s="55">
        <f>1749843*($B$4)</f>
        <v>4199623.2</v>
      </c>
      <c r="L61" s="55">
        <f>1175940*($B$4)*$L$7</f>
        <v>4624853.5394353177</v>
      </c>
      <c r="M61" s="55">
        <f>88694*($B$4)*$M$7</f>
        <v>390683.51361963811</v>
      </c>
      <c r="N61" s="55">
        <f>14828*($B$4)*$N$7</f>
        <v>73152.882458184686</v>
      </c>
      <c r="O61" s="55">
        <f>218899*($B$4)*$O$7</f>
        <v>1209513.3500998027</v>
      </c>
      <c r="P61" s="55">
        <f>155192*($B$4)*$P$7</f>
        <v>960404.621894715</v>
      </c>
      <c r="Q61" s="55">
        <f>735887*($B$4)*$Q$7</f>
        <v>5100515.4203264648</v>
      </c>
      <c r="R61" s="56">
        <f t="shared" si="3"/>
        <v>7734269.7883988051</v>
      </c>
    </row>
    <row r="62" spans="1:18" x14ac:dyDescent="0.4">
      <c r="A62" s="50" t="s">
        <v>65</v>
      </c>
      <c r="B62" s="51">
        <f t="shared" si="7"/>
        <v>23449451.762072675</v>
      </c>
      <c r="C62" s="52">
        <v>24235.4</v>
      </c>
      <c r="D62" s="53">
        <v>338</v>
      </c>
      <c r="E62" s="54">
        <v>65986.95</v>
      </c>
      <c r="F62" s="54">
        <f t="shared" si="2"/>
        <v>6598.6949999999997</v>
      </c>
      <c r="G62" s="47">
        <v>6226440.7867870675</v>
      </c>
      <c r="H62" s="55">
        <f>0*($B$4)</f>
        <v>0</v>
      </c>
      <c r="I62" s="55">
        <f>481089*($B$4)</f>
        <v>1154613.5999999999</v>
      </c>
      <c r="J62" s="55">
        <f>379380*($B$4)</f>
        <v>910512</v>
      </c>
      <c r="K62" s="55">
        <f>11639*($B$4)</f>
        <v>27933.599999999999</v>
      </c>
      <c r="L62" s="55">
        <f>2000903*($B$4)*$L$7</f>
        <v>7869349.9001792138</v>
      </c>
      <c r="M62" s="55">
        <f>0*($B$4)*$M$7</f>
        <v>0</v>
      </c>
      <c r="N62" s="55">
        <f>48426*($B$4)*$N$7</f>
        <v>238906.22376045669</v>
      </c>
      <c r="O62" s="55">
        <f>450517*($B$4)*$O$7</f>
        <v>2489304.7750191311</v>
      </c>
      <c r="P62" s="55">
        <f>0*($B$4)*$P$7</f>
        <v>0</v>
      </c>
      <c r="Q62" s="55">
        <f>1664030*($B$4)*$Q$7</f>
        <v>11533578.762616878</v>
      </c>
      <c r="R62" s="56">
        <f t="shared" si="3"/>
        <v>14261789.761396466</v>
      </c>
    </row>
    <row r="63" spans="1:18" x14ac:dyDescent="0.4">
      <c r="A63" s="50" t="s">
        <v>66</v>
      </c>
      <c r="B63" s="51">
        <f t="shared" si="7"/>
        <v>61959524.959835313</v>
      </c>
      <c r="C63" s="52">
        <v>89875.8</v>
      </c>
      <c r="D63" s="53">
        <v>632</v>
      </c>
      <c r="E63" s="54">
        <v>346635.89</v>
      </c>
      <c r="F63" s="54">
        <f t="shared" si="2"/>
        <v>34663.589</v>
      </c>
      <c r="G63" s="47">
        <v>27393202.702987425</v>
      </c>
      <c r="H63" s="55">
        <f>0*($B$4)</f>
        <v>0</v>
      </c>
      <c r="I63" s="55">
        <f>0*($B$4)</f>
        <v>0</v>
      </c>
      <c r="J63" s="55">
        <f>250924*($B$4)</f>
        <v>602217.6</v>
      </c>
      <c r="K63" s="55">
        <f>1081499*($B$4)</f>
        <v>2595597.6</v>
      </c>
      <c r="L63" s="55">
        <f>2695125*($B$4)*$L$7</f>
        <v>10599655.080591366</v>
      </c>
      <c r="M63" s="55">
        <f>548881*($B$4)*$M$7</f>
        <v>2417736.911618154</v>
      </c>
      <c r="N63" s="55">
        <f>603545*($B$4)*$N$7</f>
        <v>2977546.2937162854</v>
      </c>
      <c r="O63" s="55">
        <f>2515668*($B$4)*$O$7</f>
        <v>13900173.278173361</v>
      </c>
      <c r="P63" s="55">
        <f>667383*($B$4)*$P$7</f>
        <v>4130095.093651481</v>
      </c>
      <c r="Q63" s="55">
        <f>1782528*($B$4)*$Q$7</f>
        <v>12354901.705239654</v>
      </c>
      <c r="R63" s="56">
        <f t="shared" si="3"/>
        <v>35780453.282398939</v>
      </c>
    </row>
    <row r="64" spans="1:18" x14ac:dyDescent="0.4">
      <c r="A64" s="50" t="s">
        <v>67</v>
      </c>
      <c r="B64" s="51">
        <f t="shared" si="7"/>
        <v>46845322.436230041</v>
      </c>
      <c r="C64" s="52">
        <v>76062.23</v>
      </c>
      <c r="D64" s="53">
        <v>555</v>
      </c>
      <c r="E64" s="54">
        <v>115719.6</v>
      </c>
      <c r="F64" s="54">
        <f t="shared" si="2"/>
        <v>11571.960000000001</v>
      </c>
      <c r="G64" s="47">
        <v>7527007.1039477894</v>
      </c>
      <c r="H64" s="55">
        <f>543992*($B$4)</f>
        <v>1305580.8</v>
      </c>
      <c r="I64" s="55">
        <f>2010836*($B$4)</f>
        <v>4826006.3999999994</v>
      </c>
      <c r="J64" s="55">
        <f>267710*($B$4)</f>
        <v>642504</v>
      </c>
      <c r="K64" s="55">
        <f>872305*($B$4)</f>
        <v>2093532</v>
      </c>
      <c r="L64" s="55">
        <f>3801177*($B$4)*$L$7</f>
        <v>14949646.157516642</v>
      </c>
      <c r="M64" s="55">
        <f>33285*($B$4)*$M$7</f>
        <v>146615.33757446561</v>
      </c>
      <c r="N64" s="55">
        <f>344418*($B$4)*$N$7</f>
        <v>1699161.6853576377</v>
      </c>
      <c r="O64" s="55">
        <f>977005*($B$4)*$O$7</f>
        <v>5398382.772942123</v>
      </c>
      <c r="P64" s="55">
        <f>94076*($B$4)*$P$7</f>
        <v>582188.67731176363</v>
      </c>
      <c r="Q64" s="55">
        <f>3217553*($B$4)*$Q$7</f>
        <v>22301221.100818027</v>
      </c>
      <c r="R64" s="56">
        <f t="shared" si="3"/>
        <v>30127569.574004017</v>
      </c>
    </row>
    <row r="65" spans="1:18" x14ac:dyDescent="0.4">
      <c r="A65" s="50" t="s">
        <v>68</v>
      </c>
      <c r="B65" s="51">
        <f t="shared" si="7"/>
        <v>29665348.926502507</v>
      </c>
      <c r="C65" s="52">
        <v>54941.1</v>
      </c>
      <c r="D65" s="53">
        <v>469</v>
      </c>
      <c r="E65" s="54">
        <v>118644.15000000001</v>
      </c>
      <c r="F65" s="54">
        <f t="shared" si="2"/>
        <v>11864.415000000001</v>
      </c>
      <c r="G65" s="47">
        <v>10913145.619232433</v>
      </c>
      <c r="H65" s="55">
        <f>0*($B$4)</f>
        <v>0</v>
      </c>
      <c r="I65" s="55">
        <f>0*($B$4)</f>
        <v>0</v>
      </c>
      <c r="J65" s="55">
        <f>0*($B$4)</f>
        <v>0</v>
      </c>
      <c r="K65" s="55">
        <f>1197116*($B$4)</f>
        <v>2873078.4</v>
      </c>
      <c r="L65" s="55">
        <f>1226247*($B$4)*$L$7</f>
        <v>4822705.9018078633</v>
      </c>
      <c r="M65" s="55">
        <f>0*($B$4)*$M$7</f>
        <v>0</v>
      </c>
      <c r="N65" s="55">
        <f>0*($B$4)*$N$7</f>
        <v>0</v>
      </c>
      <c r="O65" s="55">
        <f>2390752*($B$4)*$O$7</f>
        <v>13209957.381156622</v>
      </c>
      <c r="P65" s="55">
        <f>108292*($B$4)*$P$7</f>
        <v>670164.29528727301</v>
      </c>
      <c r="Q65" s="55">
        <f>725214*($B$4)*$Q$7</f>
        <v>5026539.6589919869</v>
      </c>
      <c r="R65" s="56">
        <f t="shared" si="3"/>
        <v>18906661.335435882</v>
      </c>
    </row>
    <row r="66" spans="1:18" x14ac:dyDescent="0.4">
      <c r="A66" s="50" t="s">
        <v>69</v>
      </c>
      <c r="B66" s="51">
        <f t="shared" si="7"/>
        <v>68828935.538110703</v>
      </c>
      <c r="C66" s="52">
        <v>114872.42</v>
      </c>
      <c r="D66" s="53">
        <v>414</v>
      </c>
      <c r="E66" s="54">
        <v>176782.68000000002</v>
      </c>
      <c r="F66" s="54">
        <f t="shared" si="2"/>
        <v>17678.268000000004</v>
      </c>
      <c r="G66" s="47">
        <v>6597666.6785875158</v>
      </c>
      <c r="H66" s="55">
        <f>1833064*($B$4)</f>
        <v>4399353.5999999996</v>
      </c>
      <c r="I66" s="55">
        <f>669190*($B$4)</f>
        <v>1606056</v>
      </c>
      <c r="J66" s="55">
        <f>282355*($B$4)</f>
        <v>677652</v>
      </c>
      <c r="K66" s="55">
        <f>1515849*($B$4)</f>
        <v>3638037.6</v>
      </c>
      <c r="L66" s="55">
        <f>8327762*($B$4)*$L$7</f>
        <v>32752248.891333688</v>
      </c>
      <c r="M66" s="55">
        <f>105714*($B$4)*$M$7</f>
        <v>465654.01220811351</v>
      </c>
      <c r="N66" s="55">
        <f>400586*($B$4)*$N$7</f>
        <v>1976262.5149982716</v>
      </c>
      <c r="O66" s="55">
        <f>119904*($B$4)*$O$7</f>
        <v>662522.39037349063</v>
      </c>
      <c r="P66" s="55">
        <f>723275*($B$4)*$P$7</f>
        <v>4475982.3502558125</v>
      </c>
      <c r="Q66" s="55">
        <f>4941581*($B$4)*$Q$7</f>
        <v>34250652.737841912</v>
      </c>
      <c r="R66" s="56">
        <f t="shared" si="3"/>
        <v>41831074.005677596</v>
      </c>
    </row>
    <row r="67" spans="1:18" x14ac:dyDescent="0.4">
      <c r="A67" s="50" t="s">
        <v>70</v>
      </c>
      <c r="B67" s="51">
        <f t="shared" si="7"/>
        <v>39246023.153532416</v>
      </c>
      <c r="C67" s="52">
        <v>74140</v>
      </c>
      <c r="D67" s="53">
        <v>384</v>
      </c>
      <c r="E67" s="54">
        <v>123703.52</v>
      </c>
      <c r="F67" s="54">
        <f t="shared" si="2"/>
        <v>12370.352000000001</v>
      </c>
      <c r="G67" s="47">
        <v>9953903.345221905</v>
      </c>
      <c r="H67" s="55">
        <f>0*($B$4)</f>
        <v>0</v>
      </c>
      <c r="I67" s="55">
        <f>0*($B$4)</f>
        <v>0</v>
      </c>
      <c r="J67" s="55">
        <f>28324*($B$4)</f>
        <v>67977.599999999991</v>
      </c>
      <c r="K67" s="55">
        <f>244513*($B$4)</f>
        <v>586831.19999999995</v>
      </c>
      <c r="L67" s="55">
        <f>2302424*($B$4)*$L$7</f>
        <v>9055201.613756502</v>
      </c>
      <c r="M67" s="55">
        <f>22348*($B$4)*$M$7</f>
        <v>98439.524233563396</v>
      </c>
      <c r="N67" s="55">
        <f>0*($B$4)*$N$7</f>
        <v>0</v>
      </c>
      <c r="O67" s="55">
        <f>557987*($B$4)*$O$7</f>
        <v>3083123.8410506151</v>
      </c>
      <c r="P67" s="55">
        <f>461537*($B$4)*$P$7</f>
        <v>2856218.5420345194</v>
      </c>
      <c r="Q67" s="55">
        <f>3955193*($B$4)*$Q$7</f>
        <v>27413886.760966409</v>
      </c>
      <c r="R67" s="56">
        <f t="shared" si="3"/>
        <v>33451668.668285109</v>
      </c>
    </row>
    <row r="68" spans="1:18" x14ac:dyDescent="0.4">
      <c r="A68" s="50" t="s">
        <v>126</v>
      </c>
      <c r="B68" s="51">
        <f t="shared" si="7"/>
        <v>135538344.41180119</v>
      </c>
      <c r="C68" s="52">
        <v>132154.10999999999</v>
      </c>
      <c r="D68" s="53">
        <v>1222</v>
      </c>
      <c r="E68" s="54">
        <v>416882.31</v>
      </c>
      <c r="F68" s="54">
        <f t="shared" si="2"/>
        <v>41688.231</v>
      </c>
      <c r="G68" s="47">
        <v>39754834.719322361</v>
      </c>
      <c r="H68" s="55">
        <f>0*($B$4)</f>
        <v>0</v>
      </c>
      <c r="I68" s="55">
        <f>940810*($B$4)</f>
        <v>2257944</v>
      </c>
      <c r="J68" s="55">
        <f>2209999*($B$4)</f>
        <v>5303997.5999999996</v>
      </c>
      <c r="K68" s="55">
        <f>2057241*($B$4)</f>
        <v>4937378.3999999994</v>
      </c>
      <c r="L68" s="55">
        <f>6771054*($B$4)*$L$7</f>
        <v>26629873.171766981</v>
      </c>
      <c r="M68" s="55">
        <f>186514*($B$4)*$M$7</f>
        <v>821565.66238136939</v>
      </c>
      <c r="N68" s="55">
        <f>313685*($B$4)*$N$7</f>
        <v>1547542.617608286</v>
      </c>
      <c r="O68" s="55">
        <f>867733*($B$4)*$O$7</f>
        <v>4794606.8635405004</v>
      </c>
      <c r="P68" s="55">
        <f>278196*($B$4)*$P$7</f>
        <v>1721614.0277373972</v>
      </c>
      <c r="Q68" s="55">
        <f>13188857*($B$4)*$Q$7</f>
        <v>91413448.674838156</v>
      </c>
      <c r="R68" s="56">
        <f t="shared" si="3"/>
        <v>100298777.84610571</v>
      </c>
    </row>
    <row r="69" spans="1:18" x14ac:dyDescent="0.4">
      <c r="A69" s="50" t="s">
        <v>71</v>
      </c>
      <c r="B69" s="51">
        <f t="shared" si="7"/>
        <v>147618631.61634094</v>
      </c>
      <c r="C69" s="52">
        <v>97463.08</v>
      </c>
      <c r="D69" s="53">
        <v>628</v>
      </c>
      <c r="E69" s="54">
        <v>453708.60000000009</v>
      </c>
      <c r="F69" s="54">
        <f t="shared" si="2"/>
        <v>45370.860000000015</v>
      </c>
      <c r="G69" s="47">
        <v>27120836.518107112</v>
      </c>
      <c r="H69" s="55">
        <f>1254331*($B$4)</f>
        <v>3010394.4</v>
      </c>
      <c r="I69" s="55">
        <f>2253450*($B$4)</f>
        <v>5408280</v>
      </c>
      <c r="J69" s="55">
        <f>5203*($B$4)</f>
        <v>12487.199999999999</v>
      </c>
      <c r="K69" s="55">
        <f>9269954*($B$4)</f>
        <v>22247889.599999998</v>
      </c>
      <c r="L69" s="55">
        <f>4737543*($B$4)*$L$7</f>
        <v>18632279.292971589</v>
      </c>
      <c r="M69" s="55">
        <f>2260956*($B$4)*$M$7</f>
        <v>9959165.6055584643</v>
      </c>
      <c r="N69" s="55">
        <f>0*($B$4)*$N$7</f>
        <v>0</v>
      </c>
      <c r="O69" s="55">
        <f>1181498*($B$4)*$O$7</f>
        <v>6528296.6304835407</v>
      </c>
      <c r="P69" s="55">
        <f>874754*($B$4)*$P$7</f>
        <v>5413409.0972530134</v>
      </c>
      <c r="Q69" s="55">
        <f>14462673*($B$4)*$Q$7</f>
        <v>100242410.39132258</v>
      </c>
      <c r="R69" s="56">
        <f t="shared" si="3"/>
        <v>122143281.7246176</v>
      </c>
    </row>
    <row r="70" spans="1:18" x14ac:dyDescent="0.4">
      <c r="A70" s="50" t="s">
        <v>72</v>
      </c>
      <c r="B70" s="51">
        <f t="shared" si="7"/>
        <v>17852733.824965157</v>
      </c>
      <c r="C70" s="52">
        <v>24117.22</v>
      </c>
      <c r="D70" s="53">
        <v>299</v>
      </c>
      <c r="E70" s="54">
        <v>77698.700000000012</v>
      </c>
      <c r="F70" s="54">
        <f t="shared" si="2"/>
        <v>7769.8700000000017</v>
      </c>
      <c r="G70" s="47">
        <v>9910406.3173012659</v>
      </c>
      <c r="H70" s="55">
        <f t="shared" ref="H70:I72" si="11">0*($B$4)</f>
        <v>0</v>
      </c>
      <c r="I70" s="55">
        <f t="shared" si="11"/>
        <v>0</v>
      </c>
      <c r="J70" s="55">
        <f>169654*($B$4)</f>
        <v>407169.6</v>
      </c>
      <c r="K70" s="55">
        <f>195089*($B$4)</f>
        <v>468213.6</v>
      </c>
      <c r="L70" s="55">
        <f>1125613*($B$4)*$L$7</f>
        <v>4426922.5190778486</v>
      </c>
      <c r="M70" s="55">
        <f>257958*($B$4)*$M$7</f>
        <v>1136265.5625667418</v>
      </c>
      <c r="N70" s="55">
        <f>0*($B$4)*$N$7</f>
        <v>0</v>
      </c>
      <c r="O70" s="55">
        <f>319968*($B$4)*$O$7</f>
        <v>1767964.0729502358</v>
      </c>
      <c r="P70" s="55">
        <f>180282*($B$4)*$P$7</f>
        <v>1115673.9138900395</v>
      </c>
      <c r="Q70" s="55">
        <f>273775*($B$4)*$Q$7</f>
        <v>1897565.2636884165</v>
      </c>
      <c r="R70" s="56">
        <f t="shared" si="3"/>
        <v>5917468.8130954336</v>
      </c>
    </row>
    <row r="71" spans="1:18" x14ac:dyDescent="0.4">
      <c r="A71" s="50" t="s">
        <v>73</v>
      </c>
      <c r="B71" s="51">
        <f t="shared" si="7"/>
        <v>33582281.33632268</v>
      </c>
      <c r="C71" s="52">
        <v>112801.76</v>
      </c>
      <c r="D71" s="53">
        <v>474</v>
      </c>
      <c r="E71" s="54">
        <v>115819.14999999998</v>
      </c>
      <c r="F71" s="54">
        <f t="shared" si="2"/>
        <v>11581.914999999999</v>
      </c>
      <c r="G71" s="47">
        <v>11068395.885473205</v>
      </c>
      <c r="H71" s="55">
        <f t="shared" si="11"/>
        <v>0</v>
      </c>
      <c r="I71" s="55">
        <f t="shared" si="11"/>
        <v>0</v>
      </c>
      <c r="J71" s="55">
        <f>382077*($B$4)</f>
        <v>916984.79999999993</v>
      </c>
      <c r="K71" s="55">
        <f>259671*($B$4)</f>
        <v>623210.4</v>
      </c>
      <c r="L71" s="55">
        <f>6332459*($B$4)*$L$7</f>
        <v>24904923.226932522</v>
      </c>
      <c r="M71" s="55">
        <f>22348*($B$4)*$M$7</f>
        <v>98439.524233563396</v>
      </c>
      <c r="N71" s="55">
        <f>6538*($B$4)*$N$7</f>
        <v>32254.757587780648</v>
      </c>
      <c r="O71" s="55">
        <f>185902*($B$4)*$O$7</f>
        <v>1027190.3974447279</v>
      </c>
      <c r="P71" s="55">
        <f>0*($B$4)*$P$7</f>
        <v>0</v>
      </c>
      <c r="Q71" s="55">
        <f>253365*($B$4)*$Q$7</f>
        <v>1756101.2621109146</v>
      </c>
      <c r="R71" s="56">
        <f t="shared" si="3"/>
        <v>2913985.9413769864</v>
      </c>
    </row>
    <row r="72" spans="1:18" x14ac:dyDescent="0.4">
      <c r="A72" s="50" t="s">
        <v>74</v>
      </c>
      <c r="B72" s="51">
        <f t="shared" si="7"/>
        <v>67071590.65371269</v>
      </c>
      <c r="C72" s="52">
        <v>60653.81</v>
      </c>
      <c r="D72" s="53">
        <v>742</v>
      </c>
      <c r="E72" s="55">
        <v>200695.05000000002</v>
      </c>
      <c r="F72" s="54">
        <f t="shared" si="2"/>
        <v>20069.505000000005</v>
      </c>
      <c r="G72" s="47">
        <v>13315342.996628292</v>
      </c>
      <c r="H72" s="55">
        <f t="shared" si="11"/>
        <v>0</v>
      </c>
      <c r="I72" s="55">
        <f t="shared" si="11"/>
        <v>0</v>
      </c>
      <c r="J72" s="55">
        <f>874289*($B$4)</f>
        <v>2098293.6</v>
      </c>
      <c r="K72" s="55">
        <f>2202758*($B$4)</f>
        <v>5286619.2</v>
      </c>
      <c r="L72" s="55">
        <f>3603106*($B$4)*$L$7</f>
        <v>14170652.870946331</v>
      </c>
      <c r="M72" s="55">
        <f>379587*($B$4)*$M$7</f>
        <v>1672022.7172563821</v>
      </c>
      <c r="N72" s="55">
        <f>482393*($B$4)*$N$7</f>
        <v>2379851.5260083009</v>
      </c>
      <c r="O72" s="55">
        <f>1888840*($B$4)*$O$7</f>
        <v>10436672.603358222</v>
      </c>
      <c r="P72" s="55">
        <f>148968*($B$4)*$P$7</f>
        <v>921887.44081145886</v>
      </c>
      <c r="Q72" s="55">
        <f>5767087*($B$4)*$Q$7</f>
        <v>39972327.509338103</v>
      </c>
      <c r="R72" s="56">
        <f t="shared" si="3"/>
        <v>55382761.796772465</v>
      </c>
    </row>
    <row r="73" spans="1:18" x14ac:dyDescent="0.4">
      <c r="A73" s="50" t="s">
        <v>75</v>
      </c>
      <c r="B73" s="51">
        <f t="shared" ref="B73:B104" si="12">NPV($B$2,G73:Q73)</f>
        <v>25077066.205796104</v>
      </c>
      <c r="C73" s="52">
        <v>50401.03</v>
      </c>
      <c r="D73" s="53">
        <v>283</v>
      </c>
      <c r="E73" s="54">
        <v>75763.98</v>
      </c>
      <c r="F73" s="54">
        <f t="shared" si="2"/>
        <v>7576.3980000000001</v>
      </c>
      <c r="G73" s="47">
        <v>7969531.9475844204</v>
      </c>
      <c r="H73" s="55">
        <f>0*($B$4)</f>
        <v>0</v>
      </c>
      <c r="I73" s="55">
        <f>1066198*($B$4)</f>
        <v>2558875.1999999997</v>
      </c>
      <c r="J73" s="55">
        <f>11758*($B$4)</f>
        <v>28219.200000000001</v>
      </c>
      <c r="K73" s="55">
        <f>63880*($B$4)</f>
        <v>153312</v>
      </c>
      <c r="L73" s="55">
        <f>3325716*($B$4)*$L$7</f>
        <v>13079705.949076198</v>
      </c>
      <c r="M73" s="55">
        <f>0*($B$4)*$M$7</f>
        <v>0</v>
      </c>
      <c r="N73" s="55">
        <f>0*($B$4)*$N$7</f>
        <v>0</v>
      </c>
      <c r="O73" s="55">
        <f>0*($B$4)*$O$7</f>
        <v>0</v>
      </c>
      <c r="P73" s="55">
        <f>78029*($B$4)*$P$7</f>
        <v>482881.92846166505</v>
      </c>
      <c r="Q73" s="55">
        <f>960792*($B$4)*$Q$7</f>
        <v>6659357.2270284761</v>
      </c>
      <c r="R73" s="56">
        <f t="shared" si="3"/>
        <v>7142239.1554901414</v>
      </c>
    </row>
    <row r="74" spans="1:18" x14ac:dyDescent="0.4">
      <c r="A74" s="50" t="s">
        <v>76</v>
      </c>
      <c r="B74" s="51">
        <f t="shared" si="12"/>
        <v>38093419.691235416</v>
      </c>
      <c r="C74" s="52">
        <v>57766.09</v>
      </c>
      <c r="D74" s="53">
        <v>435</v>
      </c>
      <c r="E74" s="54">
        <v>153201.09000000003</v>
      </c>
      <c r="F74" s="54">
        <f t="shared" ref="F74:F123" si="13">E74*0.1</f>
        <v>15320.109000000004</v>
      </c>
      <c r="G74" s="47">
        <v>5242373.3958668942</v>
      </c>
      <c r="H74" s="55">
        <f>0*($B$4)</f>
        <v>0</v>
      </c>
      <c r="I74" s="55">
        <f>17196*($B$4)</f>
        <v>41270.400000000001</v>
      </c>
      <c r="J74" s="55">
        <f>191335*($B$4)</f>
        <v>459204</v>
      </c>
      <c r="K74" s="55">
        <f>150208*($B$4)</f>
        <v>360499.20000000001</v>
      </c>
      <c r="L74" s="55">
        <f>5092350*($B$4)*$L$7</f>
        <v>20027699.475775499</v>
      </c>
      <c r="M74" s="55">
        <f>0*($B$4)*$M$7</f>
        <v>0</v>
      </c>
      <c r="N74" s="55">
        <f>0*($B$4)*$N$7</f>
        <v>0</v>
      </c>
      <c r="O74" s="55">
        <f>12768*($B$4)*$O$7</f>
        <v>70548.821392853686</v>
      </c>
      <c r="P74" s="55">
        <f>0*($B$4)*$P$7</f>
        <v>0</v>
      </c>
      <c r="Q74" s="55">
        <f>3653541*($B$4)*$Q$7</f>
        <v>25323102.880326696</v>
      </c>
      <c r="R74" s="56">
        <f t="shared" ref="R74:R123" si="14">SUM(M74:Q74)</f>
        <v>25393651.701719549</v>
      </c>
    </row>
    <row r="75" spans="1:18" x14ac:dyDescent="0.4">
      <c r="A75" s="50" t="s">
        <v>77</v>
      </c>
      <c r="B75" s="51">
        <f t="shared" si="12"/>
        <v>13078048.078102931</v>
      </c>
      <c r="C75" s="52">
        <v>49059.11</v>
      </c>
      <c r="D75" s="53">
        <v>264</v>
      </c>
      <c r="E75" s="54">
        <v>67098.25</v>
      </c>
      <c r="F75" s="54">
        <f t="shared" si="13"/>
        <v>6709.8250000000007</v>
      </c>
      <c r="G75" s="47">
        <v>4429693.8395868242</v>
      </c>
      <c r="H75" s="55">
        <f>0*($B$4)</f>
        <v>0</v>
      </c>
      <c r="I75" s="55">
        <f>46584*($B$4)</f>
        <v>111801.59999999999</v>
      </c>
      <c r="J75" s="55">
        <f>5500*($B$4)</f>
        <v>13200</v>
      </c>
      <c r="K75" s="55">
        <f>213912*($B$4)</f>
        <v>513388.79999999999</v>
      </c>
      <c r="L75" s="55">
        <f>467256*($B$4)*$L$7</f>
        <v>1837670.7701263572</v>
      </c>
      <c r="M75" s="55">
        <f>564905*($B$4)*$M$7</f>
        <v>2488320.1824396425</v>
      </c>
      <c r="N75" s="55">
        <f>0*($B$4)*$N$7</f>
        <v>0</v>
      </c>
      <c r="O75" s="55">
        <f>609074*($B$4)*$O$7</f>
        <v>3365402.0082261097</v>
      </c>
      <c r="P75" s="55">
        <f>46584*($B$4)*$P$7</f>
        <v>288284.76278637687</v>
      </c>
      <c r="Q75" s="55">
        <f>529413*($B$4)*$Q$7</f>
        <v>3669420.9440053902</v>
      </c>
      <c r="R75" s="56">
        <f t="shared" si="14"/>
        <v>9811427.8974575195</v>
      </c>
    </row>
    <row r="76" spans="1:18" x14ac:dyDescent="0.4">
      <c r="A76" s="50" t="s">
        <v>78</v>
      </c>
      <c r="B76" s="51">
        <f t="shared" si="12"/>
        <v>22154032.645935938</v>
      </c>
      <c r="C76" s="52">
        <v>59316.08</v>
      </c>
      <c r="D76" s="53">
        <v>344</v>
      </c>
      <c r="E76" s="54">
        <v>112737.25</v>
      </c>
      <c r="F76" s="54">
        <f t="shared" si="13"/>
        <v>11273.725</v>
      </c>
      <c r="G76" s="47">
        <v>11344856.529052932</v>
      </c>
      <c r="H76" s="55">
        <f>0*($B$4)</f>
        <v>0</v>
      </c>
      <c r="I76" s="55">
        <f>0*($B$4)</f>
        <v>0</v>
      </c>
      <c r="J76" s="55">
        <f>409815*($B$4)</f>
        <v>983556</v>
      </c>
      <c r="K76" s="55">
        <f>827144*($B$4)</f>
        <v>1985145.5999999999</v>
      </c>
      <c r="L76" s="55">
        <f>1478233*($B$4)*$L$7</f>
        <v>5813741.4512305791</v>
      </c>
      <c r="M76" s="55">
        <f>0*($B$4)*$M$7</f>
        <v>0</v>
      </c>
      <c r="N76" s="55">
        <f>0*($B$4)*$N$7</f>
        <v>0</v>
      </c>
      <c r="O76" s="55">
        <f>132387*($B$4)*$O$7</f>
        <v>731496.46128882526</v>
      </c>
      <c r="P76" s="55">
        <f>0*($B$4)*$P$7</f>
        <v>0</v>
      </c>
      <c r="Q76" s="55">
        <f>813914*($B$4)*$Q$7</f>
        <v>5641329.3179789744</v>
      </c>
      <c r="R76" s="56">
        <f t="shared" si="14"/>
        <v>6372825.7792678</v>
      </c>
    </row>
    <row r="77" spans="1:18" x14ac:dyDescent="0.4">
      <c r="A77" s="50" t="s">
        <v>79</v>
      </c>
      <c r="B77" s="51">
        <f t="shared" si="12"/>
        <v>125149735.3991591</v>
      </c>
      <c r="C77" s="52">
        <v>152795.92000000001</v>
      </c>
      <c r="D77" s="53">
        <v>787</v>
      </c>
      <c r="E77" s="54">
        <v>470997.64999999997</v>
      </c>
      <c r="F77" s="54">
        <f t="shared" si="13"/>
        <v>47099.764999999999</v>
      </c>
      <c r="G77" s="47">
        <v>60344835.347036466</v>
      </c>
      <c r="H77" s="55">
        <f>3164*($B$4)</f>
        <v>7593.5999999999995</v>
      </c>
      <c r="I77" s="55">
        <f>477246*($B$4)</f>
        <v>1145390.3999999999</v>
      </c>
      <c r="J77" s="55">
        <f>614092*($B$4)</f>
        <v>1473820.8</v>
      </c>
      <c r="K77" s="55">
        <f>575903*($B$4)</f>
        <v>1382167.2</v>
      </c>
      <c r="L77" s="55">
        <f>4005999*($B$4)*$L$7</f>
        <v>15755190.44689724</v>
      </c>
      <c r="M77" s="55">
        <f>840590*($B$4)*$M$7</f>
        <v>3702670.4705338757</v>
      </c>
      <c r="N77" s="55">
        <f>296690*($B$4)*$N$7</f>
        <v>1463698.9949095505</v>
      </c>
      <c r="O77" s="55">
        <f>653422*($B$4)*$O$7</f>
        <v>3610444.2334086192</v>
      </c>
      <c r="P77" s="55">
        <f>276164*($B$4)*$P$7</f>
        <v>1709039.0097487762</v>
      </c>
      <c r="Q77" s="55">
        <f>9701382*($B$4)*$Q$7</f>
        <v>67241367.885935739</v>
      </c>
      <c r="R77" s="56">
        <f t="shared" si="14"/>
        <v>77727220.594536558</v>
      </c>
    </row>
    <row r="78" spans="1:18" x14ac:dyDescent="0.4">
      <c r="A78" s="50" t="s">
        <v>80</v>
      </c>
      <c r="B78" s="51">
        <f t="shared" si="12"/>
        <v>7277389.9136549309</v>
      </c>
      <c r="C78" s="52">
        <v>24934.74</v>
      </c>
      <c r="D78" s="53">
        <v>226</v>
      </c>
      <c r="E78" s="54">
        <v>0</v>
      </c>
      <c r="F78" s="54">
        <f t="shared" si="13"/>
        <v>0</v>
      </c>
      <c r="G78" s="47">
        <v>0</v>
      </c>
      <c r="H78" s="55">
        <f>0*($B$4)</f>
        <v>0</v>
      </c>
      <c r="I78" s="55">
        <f>0*($B$4)</f>
        <v>0</v>
      </c>
      <c r="J78" s="55">
        <f>0*($B$4)</f>
        <v>0</v>
      </c>
      <c r="K78" s="55">
        <f>0*($B$4)</f>
        <v>0</v>
      </c>
      <c r="L78" s="55">
        <f>440068*($B$4)*$L$7</f>
        <v>1730743.1054239341</v>
      </c>
      <c r="M78" s="55">
        <f>0*($B$4)*$M$7</f>
        <v>0</v>
      </c>
      <c r="N78" s="55">
        <f>0*($B$4)*$N$7</f>
        <v>0</v>
      </c>
      <c r="O78" s="55">
        <f>0*($B$4)*$O$7</f>
        <v>0</v>
      </c>
      <c r="P78" s="55">
        <f>0*($B$4)*$P$7</f>
        <v>0</v>
      </c>
      <c r="Q78" s="55">
        <f>1312559*($B$4)*$Q$7</f>
        <v>9097493.7994397022</v>
      </c>
      <c r="R78" s="56">
        <f t="shared" si="14"/>
        <v>9097493.7994397022</v>
      </c>
    </row>
    <row r="79" spans="1:18" x14ac:dyDescent="0.4">
      <c r="A79" s="50" t="s">
        <v>81</v>
      </c>
      <c r="B79" s="51">
        <f t="shared" si="12"/>
        <v>72810632.874203622</v>
      </c>
      <c r="C79" s="52">
        <v>98880.7</v>
      </c>
      <c r="D79" s="53">
        <v>526</v>
      </c>
      <c r="E79" s="54">
        <v>166787.79</v>
      </c>
      <c r="F79" s="54">
        <f t="shared" si="13"/>
        <v>16678.779000000002</v>
      </c>
      <c r="G79" s="47">
        <v>16346357.208333474</v>
      </c>
      <c r="H79" s="55">
        <f>0*($B$4)</f>
        <v>0</v>
      </c>
      <c r="I79" s="55">
        <f>181064*($B$4)</f>
        <v>434553.59999999998</v>
      </c>
      <c r="J79" s="55">
        <f>1796736*($B$4)</f>
        <v>4312166.3999999994</v>
      </c>
      <c r="K79" s="55">
        <f>5015910*($B$4)</f>
        <v>12038184</v>
      </c>
      <c r="L79" s="55">
        <f>4000392*($B$4)*$L$7</f>
        <v>15733138.680824468</v>
      </c>
      <c r="M79" s="55">
        <f>22348*($B$4)*$M$7</f>
        <v>98439.524233563396</v>
      </c>
      <c r="N79" s="55">
        <f>0*($B$4)*$N$7</f>
        <v>0</v>
      </c>
      <c r="O79" s="55">
        <f>409947*($B$4)*$O$7</f>
        <v>2265137.6631842256</v>
      </c>
      <c r="P79" s="55">
        <f>435163*($B$4)*$P$7</f>
        <v>2693003.2248928417</v>
      </c>
      <c r="Q79" s="55">
        <f>6042756*($B$4)*$Q$7</f>
        <v>41883020.299679525</v>
      </c>
      <c r="R79" s="56">
        <f t="shared" si="14"/>
        <v>46939600.711990155</v>
      </c>
    </row>
    <row r="80" spans="1:18" x14ac:dyDescent="0.4">
      <c r="A80" s="50" t="s">
        <v>82</v>
      </c>
      <c r="B80" s="51">
        <f t="shared" si="12"/>
        <v>24150299.275141567</v>
      </c>
      <c r="C80" s="52">
        <v>46819.99</v>
      </c>
      <c r="D80" s="53">
        <v>439</v>
      </c>
      <c r="E80" s="54">
        <v>110858.2</v>
      </c>
      <c r="F80" s="54">
        <f t="shared" si="13"/>
        <v>11085.82</v>
      </c>
      <c r="G80" s="47">
        <v>10796529.111444745</v>
      </c>
      <c r="H80" s="55">
        <f>0*($B$4)</f>
        <v>0</v>
      </c>
      <c r="I80" s="55">
        <f>389303*($B$4)</f>
        <v>934327.2</v>
      </c>
      <c r="J80" s="55">
        <f>0*($B$4)</f>
        <v>0</v>
      </c>
      <c r="K80" s="55">
        <f>47059*($B$4)</f>
        <v>112941.59999999999</v>
      </c>
      <c r="L80" s="55">
        <f>2804570*($B$4)*$L$7</f>
        <v>11030091.238578591</v>
      </c>
      <c r="M80" s="55">
        <f>159341*($B$4)*$M$7</f>
        <v>701872.7506219896</v>
      </c>
      <c r="N80" s="55">
        <f>0*($B$4)*$N$7</f>
        <v>0</v>
      </c>
      <c r="O80" s="55">
        <f>403682*($B$4)*$O$7</f>
        <v>2230520.7798801661</v>
      </c>
      <c r="P80" s="55">
        <f>9417*($B$4)*$P$7</f>
        <v>58277.039566359941</v>
      </c>
      <c r="Q80" s="55">
        <f>441654*($B$4)*$Q$7</f>
        <v>3061153.4616712402</v>
      </c>
      <c r="R80" s="56">
        <f t="shared" si="14"/>
        <v>6051824.0317397555</v>
      </c>
    </row>
    <row r="81" spans="1:18" x14ac:dyDescent="0.4">
      <c r="A81" s="50" t="s">
        <v>83</v>
      </c>
      <c r="B81" s="51">
        <f t="shared" si="12"/>
        <v>56198647.639322199</v>
      </c>
      <c r="C81" s="52">
        <v>120551.22</v>
      </c>
      <c r="D81" s="53">
        <v>806</v>
      </c>
      <c r="E81" s="54">
        <v>251074.62999999995</v>
      </c>
      <c r="F81" s="54">
        <f t="shared" si="13"/>
        <v>25107.462999999996</v>
      </c>
      <c r="G81" s="47">
        <v>6527449.1098743733</v>
      </c>
      <c r="H81" s="55">
        <f>856466*($B$4)</f>
        <v>2055518.4</v>
      </c>
      <c r="I81" s="55">
        <f>767410*($B$4)</f>
        <v>1841784</v>
      </c>
      <c r="J81" s="55">
        <f>688760*($B$4)</f>
        <v>1653024</v>
      </c>
      <c r="K81" s="55">
        <f>1527221*($B$4)</f>
        <v>3665330.4</v>
      </c>
      <c r="L81" s="55">
        <f>8127166*($B$4)*$L$7</f>
        <v>31963325.034167022</v>
      </c>
      <c r="M81" s="55">
        <f>919244*($B$4)*$M$7</f>
        <v>4049129.3187111937</v>
      </c>
      <c r="N81" s="55">
        <f>350139*($B$4)*$N$7</f>
        <v>1727385.8316041494</v>
      </c>
      <c r="O81" s="55">
        <f>832153*($B$4)*$O$7</f>
        <v>4598011.6986628585</v>
      </c>
      <c r="P81" s="55">
        <f>309692*($B$4)*$P$7</f>
        <v>1916526.8065610216</v>
      </c>
      <c r="Q81" s="55">
        <f>1739841*($B$4)*$Q$7</f>
        <v>12059033.315463129</v>
      </c>
      <c r="R81" s="56">
        <f t="shared" si="14"/>
        <v>24350086.971002355</v>
      </c>
    </row>
    <row r="82" spans="1:18" x14ac:dyDescent="0.4">
      <c r="A82" s="50" t="s">
        <v>84</v>
      </c>
      <c r="B82" s="51">
        <f t="shared" si="12"/>
        <v>96402541.751354292</v>
      </c>
      <c r="C82" s="52">
        <v>192056.28</v>
      </c>
      <c r="D82" s="53">
        <v>1464</v>
      </c>
      <c r="E82" s="54">
        <v>515998.43000000005</v>
      </c>
      <c r="F82" s="54">
        <f t="shared" si="13"/>
        <v>51599.843000000008</v>
      </c>
      <c r="G82" s="47">
        <v>24938390.814961709</v>
      </c>
      <c r="H82" s="55">
        <f>31950*($B$4)</f>
        <v>76680</v>
      </c>
      <c r="I82" s="55">
        <f>1468357*($B$4)</f>
        <v>3524056.8</v>
      </c>
      <c r="J82" s="55">
        <f>1677476*($B$4)</f>
        <v>4025942.4</v>
      </c>
      <c r="K82" s="55">
        <f>2669939*($B$4)</f>
        <v>6407853.5999999996</v>
      </c>
      <c r="L82" s="55">
        <f>9232410*($B$4)*$L$7</f>
        <v>36310138.32850147</v>
      </c>
      <c r="M82" s="55">
        <f>478253*($B$4)*$M$7</f>
        <v>2106631.366711759</v>
      </c>
      <c r="N82" s="55">
        <f>0*($B$4)*$N$7</f>
        <v>0</v>
      </c>
      <c r="O82" s="55">
        <f>863108*($B$4)*$O$7</f>
        <v>4769051.7022825163</v>
      </c>
      <c r="P82" s="55">
        <f>74637*($B$4)*$P$7</f>
        <v>461890.55985073873</v>
      </c>
      <c r="Q82" s="55">
        <f>5897265*($B$4)*$Q$7</f>
        <v>40874605.843358487</v>
      </c>
      <c r="R82" s="56">
        <f t="shared" si="14"/>
        <v>48212179.472203501</v>
      </c>
    </row>
    <row r="83" spans="1:18" x14ac:dyDescent="0.4">
      <c r="A83" s="50" t="s">
        <v>85</v>
      </c>
      <c r="B83" s="51">
        <f t="shared" si="12"/>
        <v>10778545.589895105</v>
      </c>
      <c r="C83" s="52">
        <v>38443.089999999997</v>
      </c>
      <c r="D83" s="53">
        <v>270</v>
      </c>
      <c r="E83" s="54">
        <v>40641.120000000003</v>
      </c>
      <c r="F83" s="54">
        <f t="shared" si="13"/>
        <v>4064.1120000000005</v>
      </c>
      <c r="G83" s="47">
        <v>3868308.6976188486</v>
      </c>
      <c r="H83" s="55">
        <f>0*($B$4)</f>
        <v>0</v>
      </c>
      <c r="I83" s="55">
        <f>0*($B$4)</f>
        <v>0</v>
      </c>
      <c r="J83" s="55">
        <f>0*($B$4)</f>
        <v>0</v>
      </c>
      <c r="K83" s="55">
        <f>0*($B$4)</f>
        <v>0</v>
      </c>
      <c r="L83" s="55">
        <f>835131*($B$4)*$L$7</f>
        <v>3284486.080278038</v>
      </c>
      <c r="M83" s="55">
        <f t="shared" ref="M83:M91" si="15">0*($B$4)*$M$7</f>
        <v>0</v>
      </c>
      <c r="N83" s="55">
        <f>215962*($B$4)*$N$7</f>
        <v>1065433.1535901322</v>
      </c>
      <c r="O83" s="55">
        <f>91065*($B$4)*$O$7</f>
        <v>503174.21836937824</v>
      </c>
      <c r="P83" s="55">
        <f>0*($B$4)*$P$7</f>
        <v>0</v>
      </c>
      <c r="Q83" s="55">
        <f>739889*($B$4)*$Q$7</f>
        <v>5128253.7316597886</v>
      </c>
      <c r="R83" s="56">
        <f t="shared" si="14"/>
        <v>6696861.1036192989</v>
      </c>
    </row>
    <row r="84" spans="1:18" x14ac:dyDescent="0.4">
      <c r="A84" s="50" t="s">
        <v>86</v>
      </c>
      <c r="B84" s="51">
        <f t="shared" si="12"/>
        <v>113613335.70213105</v>
      </c>
      <c r="C84" s="52">
        <v>111833.82</v>
      </c>
      <c r="D84" s="53">
        <v>1074</v>
      </c>
      <c r="E84" s="54">
        <v>476854.86</v>
      </c>
      <c r="F84" s="54">
        <f t="shared" si="13"/>
        <v>47685.486000000004</v>
      </c>
      <c r="G84" s="47">
        <v>13209664.262835722</v>
      </c>
      <c r="H84" s="55">
        <f>0*($B$4)</f>
        <v>0</v>
      </c>
      <c r="I84" s="55">
        <f>88078*($B$4)</f>
        <v>211387.19999999998</v>
      </c>
      <c r="J84" s="55">
        <f>1519331*($B$4)</f>
        <v>3646394.4</v>
      </c>
      <c r="K84" s="55">
        <f>1377360*($B$4)</f>
        <v>3305664</v>
      </c>
      <c r="L84" s="55">
        <f>6441351*($B$4)*$L$7</f>
        <v>25333184.491636664</v>
      </c>
      <c r="M84" s="55">
        <f t="shared" si="15"/>
        <v>0</v>
      </c>
      <c r="N84" s="55">
        <f>381109*($B$4)*$N$7</f>
        <v>1880174.1219824865</v>
      </c>
      <c r="O84" s="55">
        <f>601001*($B$4)*$O$7</f>
        <v>3320795.1289102803</v>
      </c>
      <c r="P84" s="55">
        <f>1751*($B$4)*$P$7</f>
        <v>10836.051426218142</v>
      </c>
      <c r="Q84" s="55">
        <f>15803940*($B$4)*$Q$7</f>
        <v>109538882.56201594</v>
      </c>
      <c r="R84" s="56">
        <f t="shared" si="14"/>
        <v>114750687.86433493</v>
      </c>
    </row>
    <row r="85" spans="1:18" x14ac:dyDescent="0.4">
      <c r="A85" s="50" t="s">
        <v>87</v>
      </c>
      <c r="B85" s="51">
        <f t="shared" si="12"/>
        <v>62249818.033577889</v>
      </c>
      <c r="C85" s="52">
        <v>151632.54999999999</v>
      </c>
      <c r="D85" s="53">
        <v>765</v>
      </c>
      <c r="E85" s="54">
        <v>209496.3</v>
      </c>
      <c r="F85" s="54">
        <f t="shared" si="13"/>
        <v>20949.63</v>
      </c>
      <c r="G85" s="47">
        <v>19157105.562869929</v>
      </c>
      <c r="H85" s="55">
        <f>0*($B$4)</f>
        <v>0</v>
      </c>
      <c r="I85" s="55">
        <f>0*($B$4)</f>
        <v>0</v>
      </c>
      <c r="J85" s="55">
        <f>0*($B$4)</f>
        <v>0</v>
      </c>
      <c r="K85" s="55">
        <f>78303*($B$4)</f>
        <v>187927.19999999998</v>
      </c>
      <c r="L85" s="55">
        <f>12406833*($B$4)*$L$7</f>
        <v>48794824.151940487</v>
      </c>
      <c r="M85" s="55">
        <f t="shared" si="15"/>
        <v>0</v>
      </c>
      <c r="N85" s="55">
        <f>0*($B$4)*$N$7</f>
        <v>0</v>
      </c>
      <c r="O85" s="55">
        <f>50616*($B$4)*$O$7</f>
        <v>279675.68480738427</v>
      </c>
      <c r="P85" s="55">
        <f>0*($B$4)*$P$7</f>
        <v>0</v>
      </c>
      <c r="Q85" s="55">
        <f>1091728*($B$4)*$Q$7</f>
        <v>7566889.3441549717</v>
      </c>
      <c r="R85" s="56">
        <f t="shared" si="14"/>
        <v>7846565.028962356</v>
      </c>
    </row>
    <row r="86" spans="1:18" x14ac:dyDescent="0.4">
      <c r="A86" s="50" t="s">
        <v>88</v>
      </c>
      <c r="B86" s="51">
        <f t="shared" si="12"/>
        <v>37296376.2734157</v>
      </c>
      <c r="C86" s="52">
        <v>50827.33</v>
      </c>
      <c r="D86" s="53">
        <v>557</v>
      </c>
      <c r="E86" s="54">
        <v>160507.64000000001</v>
      </c>
      <c r="F86" s="54">
        <f t="shared" si="13"/>
        <v>16050.764000000003</v>
      </c>
      <c r="G86" s="47">
        <v>19235502.209593441</v>
      </c>
      <c r="H86" s="55">
        <f>102044*($B$4)</f>
        <v>244905.59999999998</v>
      </c>
      <c r="I86" s="55">
        <f>327675*($B$4)</f>
        <v>786420</v>
      </c>
      <c r="J86" s="55">
        <f>299290*($B$4)</f>
        <v>718296</v>
      </c>
      <c r="K86" s="55">
        <f>794350*($B$4)</f>
        <v>1906440</v>
      </c>
      <c r="L86" s="55">
        <f>3584998*($B$4)*$L$7</f>
        <v>14099435.931398313</v>
      </c>
      <c r="M86" s="55">
        <f t="shared" si="15"/>
        <v>0</v>
      </c>
      <c r="N86" s="55">
        <f>0*($B$4)*$N$7</f>
        <v>0</v>
      </c>
      <c r="O86" s="55">
        <f>82043*($B$4)*$O$7</f>
        <v>453323.69623542414</v>
      </c>
      <c r="P86" s="55">
        <f>170448*($B$4)*$P$7</f>
        <v>1054816.2726990464</v>
      </c>
      <c r="Q86" s="55">
        <f>781843*($B$4)*$Q$7</f>
        <v>5419041.6161371293</v>
      </c>
      <c r="R86" s="56">
        <f t="shared" si="14"/>
        <v>6927181.5850716</v>
      </c>
    </row>
    <row r="87" spans="1:18" x14ac:dyDescent="0.4">
      <c r="A87" s="50" t="s">
        <v>89</v>
      </c>
      <c r="B87" s="51">
        <f t="shared" si="12"/>
        <v>30206100.874392439</v>
      </c>
      <c r="C87" s="52">
        <v>48308.99</v>
      </c>
      <c r="D87" s="53">
        <v>280</v>
      </c>
      <c r="E87" s="54">
        <v>83916.26999999999</v>
      </c>
      <c r="F87" s="54">
        <f t="shared" si="13"/>
        <v>8391.6269999999986</v>
      </c>
      <c r="G87" s="47">
        <v>10594304.134514507</v>
      </c>
      <c r="H87" s="55">
        <f>0*($B$4)</f>
        <v>0</v>
      </c>
      <c r="I87" s="55">
        <f>0*($B$4)</f>
        <v>0</v>
      </c>
      <c r="J87" s="55">
        <f>72735*($B$4)</f>
        <v>174564</v>
      </c>
      <c r="K87" s="55">
        <f>411716*($B$4)</f>
        <v>988118.39999999991</v>
      </c>
      <c r="L87" s="55">
        <f>3018186*($B$4)*$L$7</f>
        <v>11870221.443929216</v>
      </c>
      <c r="M87" s="55">
        <f t="shared" si="15"/>
        <v>0</v>
      </c>
      <c r="N87" s="55">
        <f>235128*($B$4)*$N$7</f>
        <v>1159987.2502446754</v>
      </c>
      <c r="O87" s="55">
        <f>1641872*($B$4)*$O$7</f>
        <v>9072065.670263743</v>
      </c>
      <c r="P87" s="55">
        <f>87974*($B$4)*$P$7</f>
        <v>544426.492387273</v>
      </c>
      <c r="Q87" s="55">
        <f>463624*($B$4)*$Q$7</f>
        <v>3213429.9984011627</v>
      </c>
      <c r="R87" s="56">
        <f t="shared" si="14"/>
        <v>13989909.411296854</v>
      </c>
    </row>
    <row r="88" spans="1:18" x14ac:dyDescent="0.4">
      <c r="A88" s="50" t="s">
        <v>90</v>
      </c>
      <c r="B88" s="51">
        <f t="shared" si="12"/>
        <v>34571137.041629389</v>
      </c>
      <c r="C88" s="52">
        <v>79544.710000000006</v>
      </c>
      <c r="D88" s="53">
        <v>323</v>
      </c>
      <c r="E88" s="54">
        <v>102497.28</v>
      </c>
      <c r="F88" s="54">
        <f t="shared" si="13"/>
        <v>10249.728000000001</v>
      </c>
      <c r="G88" s="47">
        <v>11064587.613664325</v>
      </c>
      <c r="H88" s="55">
        <f>0*($B$4)</f>
        <v>0</v>
      </c>
      <c r="I88" s="55">
        <f>962231*($B$4)</f>
        <v>2309354.4</v>
      </c>
      <c r="J88" s="55">
        <f>554233*($B$4)</f>
        <v>1330159.2</v>
      </c>
      <c r="K88" s="55">
        <f>2265173*($B$4)</f>
        <v>5436415.2000000002</v>
      </c>
      <c r="L88" s="55">
        <f>3944002*($B$4)*$L$7</f>
        <v>15511362.492338017</v>
      </c>
      <c r="M88" s="55">
        <f t="shared" si="15"/>
        <v>0</v>
      </c>
      <c r="N88" s="55">
        <f>0*($B$4)*$N$7</f>
        <v>0</v>
      </c>
      <c r="O88" s="55">
        <f>5820*($B$4)*$O$7</f>
        <v>32158.062383020715</v>
      </c>
      <c r="P88" s="55">
        <f>0*($B$4)*$P$7</f>
        <v>0</v>
      </c>
      <c r="Q88" s="55">
        <f>886719*($B$4)*$Q$7</f>
        <v>6145948.9473199854</v>
      </c>
      <c r="R88" s="56">
        <f t="shared" si="14"/>
        <v>6178107.0097030057</v>
      </c>
    </row>
    <row r="89" spans="1:18" x14ac:dyDescent="0.4">
      <c r="A89" s="50" t="s">
        <v>91</v>
      </c>
      <c r="B89" s="51">
        <f t="shared" si="12"/>
        <v>25042738.121740442</v>
      </c>
      <c r="C89" s="52">
        <v>70973.740000000005</v>
      </c>
      <c r="D89" s="53">
        <v>303</v>
      </c>
      <c r="E89" s="54">
        <v>74209.759999999995</v>
      </c>
      <c r="F89" s="54">
        <f t="shared" si="13"/>
        <v>7420.9759999999997</v>
      </c>
      <c r="G89" s="47">
        <v>5609036.332450768</v>
      </c>
      <c r="H89" s="55">
        <f>58535*($B$4)</f>
        <v>140484</v>
      </c>
      <c r="I89" s="55">
        <f>1051745*($B$4)</f>
        <v>2524188</v>
      </c>
      <c r="J89" s="55">
        <f>248573*($B$4)</f>
        <v>596575.19999999995</v>
      </c>
      <c r="K89" s="55">
        <f>500893*($B$4)</f>
        <v>1202143.2</v>
      </c>
      <c r="L89" s="55">
        <f>2218538*($B$4)*$L$7</f>
        <v>8725286.4275998361</v>
      </c>
      <c r="M89" s="55">
        <f t="shared" si="15"/>
        <v>0</v>
      </c>
      <c r="N89" s="55">
        <f>89798*($B$4)*$N$7</f>
        <v>443012.04066496278</v>
      </c>
      <c r="O89" s="55">
        <f>41416*($B$4)*$O$7</f>
        <v>228841.63430501477</v>
      </c>
      <c r="P89" s="55">
        <f>8917*($B$4)*$P$7</f>
        <v>55182.793014041796</v>
      </c>
      <c r="Q89" s="55">
        <f>1856830*($B$4)*$Q$7</f>
        <v>12869897.209659619</v>
      </c>
      <c r="R89" s="56">
        <f t="shared" si="14"/>
        <v>13596933.677643638</v>
      </c>
    </row>
    <row r="90" spans="1:18" x14ac:dyDescent="0.4">
      <c r="A90" s="50" t="s">
        <v>92</v>
      </c>
      <c r="B90" s="51">
        <f t="shared" si="12"/>
        <v>21134521.388303868</v>
      </c>
      <c r="C90" s="52">
        <v>47064.44</v>
      </c>
      <c r="D90" s="53">
        <v>271</v>
      </c>
      <c r="E90" s="54">
        <v>165886.27000000002</v>
      </c>
      <c r="F90" s="54">
        <f t="shared" si="13"/>
        <v>16588.627000000004</v>
      </c>
      <c r="G90" s="47">
        <v>3580941.5458405861</v>
      </c>
      <c r="H90" s="55">
        <f t="shared" ref="H90:I92" si="16">0*($B$4)</f>
        <v>0</v>
      </c>
      <c r="I90" s="55">
        <f t="shared" si="16"/>
        <v>0</v>
      </c>
      <c r="J90" s="55">
        <f>264705*($B$4)</f>
        <v>635292</v>
      </c>
      <c r="K90" s="55">
        <f>866207*($B$4)</f>
        <v>2078896.7999999998</v>
      </c>
      <c r="L90" s="55">
        <f>3932472*($B$4)*$L$7</f>
        <v>15466016.164030716</v>
      </c>
      <c r="M90" s="55">
        <f t="shared" si="15"/>
        <v>0</v>
      </c>
      <c r="N90" s="55">
        <f>0*($B$4)*$N$7</f>
        <v>0</v>
      </c>
      <c r="O90" s="55">
        <f>294309*($B$4)*$O$7</f>
        <v>1626186.8010110727</v>
      </c>
      <c r="P90" s="55">
        <f>0*($B$4)*$P$7</f>
        <v>0</v>
      </c>
      <c r="Q90" s="55">
        <f>460652*($B$4)*$Q$7</f>
        <v>3192830.7327133468</v>
      </c>
      <c r="R90" s="56">
        <f t="shared" si="14"/>
        <v>4819017.5337244198</v>
      </c>
    </row>
    <row r="91" spans="1:18" x14ac:dyDescent="0.4">
      <c r="A91" s="50" t="s">
        <v>93</v>
      </c>
      <c r="B91" s="51">
        <f t="shared" si="12"/>
        <v>12148336.516460942</v>
      </c>
      <c r="C91" s="52">
        <v>75370.320000000007</v>
      </c>
      <c r="D91" s="53">
        <v>384</v>
      </c>
      <c r="E91" s="54">
        <v>142643.76</v>
      </c>
      <c r="F91" s="54">
        <f t="shared" si="13"/>
        <v>14264.376000000002</v>
      </c>
      <c r="G91" s="47">
        <v>689938.56590049504</v>
      </c>
      <c r="H91" s="55">
        <f t="shared" si="16"/>
        <v>0</v>
      </c>
      <c r="I91" s="55">
        <f t="shared" si="16"/>
        <v>0</v>
      </c>
      <c r="J91" s="55">
        <f>462060*($B$4)</f>
        <v>1108944</v>
      </c>
      <c r="K91" s="55">
        <f>726668*($B$4)</f>
        <v>1744003.2</v>
      </c>
      <c r="L91" s="55">
        <f>931704*($B$4)*$L$7</f>
        <v>3664297.9591697222</v>
      </c>
      <c r="M91" s="55">
        <f t="shared" si="15"/>
        <v>0</v>
      </c>
      <c r="N91" s="55">
        <f>0*($B$4)*$N$7</f>
        <v>0</v>
      </c>
      <c r="O91" s="55">
        <f>194910*($B$4)*$O$7</f>
        <v>1076963.5634148743</v>
      </c>
      <c r="P91" s="55">
        <f>0*($B$4)*$P$7</f>
        <v>0</v>
      </c>
      <c r="Q91" s="55">
        <f>1210699*($B$4)*$Q$7</f>
        <v>8391490.7028848585</v>
      </c>
      <c r="R91" s="56">
        <f t="shared" si="14"/>
        <v>9468454.266299732</v>
      </c>
    </row>
    <row r="92" spans="1:18" x14ac:dyDescent="0.4">
      <c r="A92" s="50" t="s">
        <v>94</v>
      </c>
      <c r="B92" s="51">
        <f t="shared" si="12"/>
        <v>50860309.044054031</v>
      </c>
      <c r="C92" s="52">
        <v>49166</v>
      </c>
      <c r="D92" s="53">
        <v>331</v>
      </c>
      <c r="E92" s="54">
        <v>102085.36</v>
      </c>
      <c r="F92" s="54">
        <f t="shared" si="13"/>
        <v>10208.536</v>
      </c>
      <c r="G92" s="47">
        <v>16087215.726591466</v>
      </c>
      <c r="H92" s="55">
        <f t="shared" si="16"/>
        <v>0</v>
      </c>
      <c r="I92" s="55">
        <f t="shared" si="16"/>
        <v>0</v>
      </c>
      <c r="J92" s="55">
        <f>197471*($B$4)</f>
        <v>473930.39999999997</v>
      </c>
      <c r="K92" s="55">
        <f>1546390*($B$4)</f>
        <v>3711336</v>
      </c>
      <c r="L92" s="55">
        <f>1741143*($B$4)*$L$7</f>
        <v>6847739.9920174722</v>
      </c>
      <c r="M92" s="55">
        <f>478941*($B$4)*$M$7</f>
        <v>2109661.9015548183</v>
      </c>
      <c r="N92" s="55">
        <f>0*($B$4)*$N$7</f>
        <v>0</v>
      </c>
      <c r="O92" s="55">
        <f>1047363*($B$4)*$O$7</f>
        <v>5787141.6995992651</v>
      </c>
      <c r="P92" s="55">
        <f>501343*($B$4)*$P$7</f>
        <v>3102557.6985576712</v>
      </c>
      <c r="Q92" s="55">
        <f>4166583*($B$4)*$Q$7</f>
        <v>28879054.585242163</v>
      </c>
      <c r="R92" s="56">
        <f t="shared" si="14"/>
        <v>39878415.884953916</v>
      </c>
    </row>
    <row r="93" spans="1:18" x14ac:dyDescent="0.4">
      <c r="A93" s="50" t="s">
        <v>95</v>
      </c>
      <c r="B93" s="51">
        <f t="shared" si="12"/>
        <v>59066489.352365129</v>
      </c>
      <c r="C93" s="52">
        <v>95674.26</v>
      </c>
      <c r="D93" s="53">
        <v>627</v>
      </c>
      <c r="E93" s="54">
        <v>151683.34999999998</v>
      </c>
      <c r="F93" s="54">
        <f t="shared" si="13"/>
        <v>15168.334999999999</v>
      </c>
      <c r="G93" s="47">
        <v>15648280.013362978</v>
      </c>
      <c r="H93" s="55">
        <f>397482*($B$4)</f>
        <v>953956.79999999993</v>
      </c>
      <c r="I93" s="55">
        <f>92434*($B$4)</f>
        <v>221841.6</v>
      </c>
      <c r="J93" s="55">
        <f>1654134*($B$4)</f>
        <v>3969921.5999999996</v>
      </c>
      <c r="K93" s="55">
        <f>1110076*($B$4)</f>
        <v>2664182.4</v>
      </c>
      <c r="L93" s="55">
        <f>4711360*($B$4)*$L$7</f>
        <v>18529304.192011476</v>
      </c>
      <c r="M93" s="55">
        <f>98814*($B$4)*$M$7</f>
        <v>435260.56683440722</v>
      </c>
      <c r="N93" s="55">
        <f>5252*($B$4)*$N$7</f>
        <v>25910.368132613028</v>
      </c>
      <c r="O93" s="55">
        <f>995579*($B$4)*$O$7</f>
        <v>5501012.3005541898</v>
      </c>
      <c r="P93" s="55">
        <f>891769*($B$4)*$P$7</f>
        <v>5518706.3074284</v>
      </c>
      <c r="Q93" s="55">
        <f>3280697*($B$4)*$Q$7</f>
        <v>22738879.254449081</v>
      </c>
      <c r="R93" s="56">
        <f t="shared" si="14"/>
        <v>34219768.797398686</v>
      </c>
    </row>
    <row r="94" spans="1:18" x14ac:dyDescent="0.4">
      <c r="A94" s="50" t="s">
        <v>96</v>
      </c>
      <c r="B94" s="51">
        <f t="shared" si="12"/>
        <v>31990955.398950286</v>
      </c>
      <c r="C94" s="52">
        <v>54542.62</v>
      </c>
      <c r="D94" s="53">
        <v>479</v>
      </c>
      <c r="E94" s="54">
        <v>143190.64000000001</v>
      </c>
      <c r="F94" s="54">
        <f t="shared" si="13"/>
        <v>14319.064000000002</v>
      </c>
      <c r="G94" s="47">
        <v>16165222.186403025</v>
      </c>
      <c r="H94" s="55">
        <f>0*($B$4)</f>
        <v>0</v>
      </c>
      <c r="I94" s="55">
        <f>264842*($B$4)</f>
        <v>635620.79999999993</v>
      </c>
      <c r="J94" s="55">
        <f>575972*($B$4)</f>
        <v>1382332.8</v>
      </c>
      <c r="K94" s="55">
        <f>598762*($B$4)</f>
        <v>1437028.8</v>
      </c>
      <c r="L94" s="55">
        <f>624193*($B$4)*$L$7</f>
        <v>2454888.1791084143</v>
      </c>
      <c r="M94" s="55">
        <f>117449*($B$4)*$M$7</f>
        <v>517344.89357919217</v>
      </c>
      <c r="N94" s="55">
        <f>3184*($B$4)*$N$7</f>
        <v>15708.037344676291</v>
      </c>
      <c r="O94" s="55">
        <f>1340494*($B$4)*$O$7</f>
        <v>7406819.5319699263</v>
      </c>
      <c r="P94" s="55">
        <f>256882*($B$4)*$P$7</f>
        <v>1589712.4857051792</v>
      </c>
      <c r="Q94" s="55">
        <f>1087665*($B$4)*$Q$7</f>
        <v>7538728.2349727387</v>
      </c>
      <c r="R94" s="56">
        <f t="shared" si="14"/>
        <v>17068313.183571711</v>
      </c>
    </row>
    <row r="95" spans="1:18" x14ac:dyDescent="0.4">
      <c r="A95" s="50" t="s">
        <v>97</v>
      </c>
      <c r="B95" s="51">
        <f t="shared" si="12"/>
        <v>20427602.822572913</v>
      </c>
      <c r="C95" s="52">
        <v>61828.53</v>
      </c>
      <c r="D95" s="53">
        <v>277</v>
      </c>
      <c r="E95" s="54">
        <v>82397.66</v>
      </c>
      <c r="F95" s="54">
        <f t="shared" si="13"/>
        <v>8239.7660000000014</v>
      </c>
      <c r="G95" s="47">
        <v>7349256.2748330608</v>
      </c>
      <c r="H95" s="55">
        <f>0*($B$4)</f>
        <v>0</v>
      </c>
      <c r="I95" s="55">
        <f>1070588*($B$4)</f>
        <v>2569411.1999999997</v>
      </c>
      <c r="J95" s="55">
        <f>144852*($B$4)</f>
        <v>347644.8</v>
      </c>
      <c r="K95" s="55">
        <f>2055434*($B$4)</f>
        <v>4933041.5999999996</v>
      </c>
      <c r="L95" s="55">
        <f>1391898*($B$4)*$L$7</f>
        <v>5474194.5948202619</v>
      </c>
      <c r="M95" s="55">
        <f>0*($B$4)*$M$7</f>
        <v>0</v>
      </c>
      <c r="N95" s="55">
        <f>0*($B$4)*$N$7</f>
        <v>0</v>
      </c>
      <c r="O95" s="55">
        <f>326180*($B$4)*$O$7</f>
        <v>1802288.1079198793</v>
      </c>
      <c r="P95" s="55">
        <f>118386*($B$4)*$P$7</f>
        <v>732630.94468547171</v>
      </c>
      <c r="Q95" s="55">
        <f>141595*($B$4)*$Q$7</f>
        <v>981410.84288909263</v>
      </c>
      <c r="R95" s="56">
        <f t="shared" si="14"/>
        <v>3516329.8954944434</v>
      </c>
    </row>
    <row r="96" spans="1:18" x14ac:dyDescent="0.4">
      <c r="A96" s="50" t="s">
        <v>98</v>
      </c>
      <c r="B96" s="51">
        <f t="shared" si="12"/>
        <v>25612660.609886277</v>
      </c>
      <c r="C96" s="52">
        <v>101683.76</v>
      </c>
      <c r="D96" s="53">
        <v>548</v>
      </c>
      <c r="E96" s="54">
        <v>157648.38</v>
      </c>
      <c r="F96" s="54">
        <f t="shared" si="13"/>
        <v>15764.838000000002</v>
      </c>
      <c r="G96" s="47">
        <v>915014.9044119115</v>
      </c>
      <c r="H96" s="55">
        <f>190260*($B$4)</f>
        <v>456624</v>
      </c>
      <c r="I96" s="55">
        <f>0*($B$4)</f>
        <v>0</v>
      </c>
      <c r="J96" s="55">
        <f>0*($B$4)</f>
        <v>0</v>
      </c>
      <c r="K96" s="55">
        <f>844416*($B$4)</f>
        <v>2026598.3999999999</v>
      </c>
      <c r="L96" s="55">
        <f>4432216*($B$4)*$L$7</f>
        <v>17431458.964863721</v>
      </c>
      <c r="M96" s="55">
        <f>0*($B$4)*$M$7</f>
        <v>0</v>
      </c>
      <c r="N96" s="55">
        <f>331593*($B$4)*$N$7</f>
        <v>1635890.4608144616</v>
      </c>
      <c r="O96" s="55">
        <f>0*($B$4)*$O$7</f>
        <v>0</v>
      </c>
      <c r="P96" s="55">
        <f>175251*($B$4)*$P$7</f>
        <v>1084539.6050806143</v>
      </c>
      <c r="Q96" s="55">
        <f>1541563*($B$4)*$Q$7</f>
        <v>10684746.235365925</v>
      </c>
      <c r="R96" s="56">
        <f t="shared" si="14"/>
        <v>13405176.301261</v>
      </c>
    </row>
    <row r="97" spans="1:18" x14ac:dyDescent="0.4">
      <c r="A97" s="50" t="s">
        <v>99</v>
      </c>
      <c r="B97" s="51">
        <f t="shared" si="12"/>
        <v>35863395.183797166</v>
      </c>
      <c r="C97" s="52">
        <v>77398.27</v>
      </c>
      <c r="D97" s="53">
        <v>455</v>
      </c>
      <c r="E97" s="54">
        <v>177661.26</v>
      </c>
      <c r="F97" s="54">
        <f t="shared" si="13"/>
        <v>17766.126</v>
      </c>
      <c r="G97" s="47">
        <v>16881614.286142312</v>
      </c>
      <c r="H97" s="55">
        <f>0*($B$4)</f>
        <v>0</v>
      </c>
      <c r="I97" s="55">
        <f>0*($B$4)</f>
        <v>0</v>
      </c>
      <c r="J97" s="55">
        <f>0*($B$4)</f>
        <v>0</v>
      </c>
      <c r="K97" s="55">
        <f>674574*($B$4)</f>
        <v>1618977.5999999999</v>
      </c>
      <c r="L97" s="55">
        <f>3098046*($B$4)*$L$7</f>
        <v>12184302.777721165</v>
      </c>
      <c r="M97" s="55">
        <f>89391*($B$4)*$M$7</f>
        <v>393753.69208709797</v>
      </c>
      <c r="N97" s="55">
        <f>0*($B$4)*$N$7</f>
        <v>0</v>
      </c>
      <c r="O97" s="55">
        <f>683643*($B$4)*$O$7</f>
        <v>3777428.5638686307</v>
      </c>
      <c r="P97" s="55">
        <f>332751*($B$4)*$P$7</f>
        <v>2059227.2690608301</v>
      </c>
      <c r="Q97" s="55">
        <f>960978*($B$4)*$Q$7</f>
        <v>6660646.4139120337</v>
      </c>
      <c r="R97" s="56">
        <f t="shared" si="14"/>
        <v>12891055.938928593</v>
      </c>
    </row>
    <row r="98" spans="1:18" x14ac:dyDescent="0.4">
      <c r="A98" s="50" t="s">
        <v>100</v>
      </c>
      <c r="B98" s="51">
        <f t="shared" si="12"/>
        <v>29233723.930475637</v>
      </c>
      <c r="C98" s="52">
        <v>43489.84</v>
      </c>
      <c r="D98" s="53">
        <v>293</v>
      </c>
      <c r="E98" s="54">
        <v>94371.460000000021</v>
      </c>
      <c r="F98" s="54">
        <f t="shared" si="13"/>
        <v>9437.1460000000025</v>
      </c>
      <c r="G98" s="47">
        <v>10964956.279373772</v>
      </c>
      <c r="H98" s="55">
        <f>0*($B$4)</f>
        <v>0</v>
      </c>
      <c r="I98" s="55">
        <f>677305*($B$4)</f>
        <v>1625532</v>
      </c>
      <c r="J98" s="55">
        <f>95804*($B$4)</f>
        <v>229929.60000000001</v>
      </c>
      <c r="K98" s="55">
        <f>633672*($B$4)</f>
        <v>1520812.8</v>
      </c>
      <c r="L98" s="55">
        <f>1361142*($B$4)*$L$7</f>
        <v>5353234.3456078256</v>
      </c>
      <c r="M98" s="55">
        <f>16148*($B$4)*$M$7</f>
        <v>71129.471868783861</v>
      </c>
      <c r="N98" s="55">
        <f>49918*($B$4)*$N$7</f>
        <v>246266.89955136654</v>
      </c>
      <c r="O98" s="55">
        <f>29336*($B$4)*$O$7</f>
        <v>162094.31581929477</v>
      </c>
      <c r="P98" s="55">
        <f>0*($B$4)*$P$7</f>
        <v>0</v>
      </c>
      <c r="Q98" s="55">
        <f>2492103*($B$4)*$Q$7</f>
        <v>17273045.699328624</v>
      </c>
      <c r="R98" s="56">
        <f t="shared" si="14"/>
        <v>17752536.386568069</v>
      </c>
    </row>
    <row r="99" spans="1:18" x14ac:dyDescent="0.4">
      <c r="A99" s="50" t="s">
        <v>102</v>
      </c>
      <c r="B99" s="51">
        <f t="shared" si="12"/>
        <v>11008912.447729746</v>
      </c>
      <c r="C99" s="52">
        <v>5346.2</v>
      </c>
      <c r="D99" s="53">
        <v>70</v>
      </c>
      <c r="E99" s="54">
        <v>26549.82</v>
      </c>
      <c r="F99" s="54">
        <f t="shared" si="13"/>
        <v>2654.982</v>
      </c>
      <c r="G99" s="47">
        <v>4223798.1765736016</v>
      </c>
      <c r="H99" s="55">
        <f>104239*($B$4)</f>
        <v>250173.59999999998</v>
      </c>
      <c r="I99" s="55">
        <f>503215*($B$4)</f>
        <v>1207716</v>
      </c>
      <c r="J99" s="55">
        <f>42292*($B$4)</f>
        <v>101500.8</v>
      </c>
      <c r="K99" s="55">
        <f>144834*($B$4)</f>
        <v>347601.6</v>
      </c>
      <c r="L99" s="55">
        <f>1395167*($B$4)*$L$7</f>
        <v>5487051.2424556976</v>
      </c>
      <c r="M99" s="55">
        <f>0*($B$4)*$M$7</f>
        <v>0</v>
      </c>
      <c r="N99" s="55">
        <f>9580*($B$4)*$N$7</f>
        <v>47262.248040828796</v>
      </c>
      <c r="O99" s="55">
        <f>0*($B$4)*$O$7</f>
        <v>0</v>
      </c>
      <c r="P99" s="55">
        <f>46987*($B$4)*$P$7</f>
        <v>290778.72550754534</v>
      </c>
      <c r="Q99" s="55">
        <f>156070*($B$4)*$Q$7</f>
        <v>1081738.6931014562</v>
      </c>
      <c r="R99" s="56">
        <f t="shared" si="14"/>
        <v>1419779.6666498303</v>
      </c>
    </row>
    <row r="100" spans="1:18" x14ac:dyDescent="0.4">
      <c r="A100" s="50" t="s">
        <v>101</v>
      </c>
      <c r="B100" s="51">
        <f t="shared" si="12"/>
        <v>31327777.104116622</v>
      </c>
      <c r="C100" s="52">
        <v>45170.61</v>
      </c>
      <c r="D100" s="53">
        <v>312</v>
      </c>
      <c r="E100" s="54">
        <v>125287.78</v>
      </c>
      <c r="F100" s="54">
        <f t="shared" si="13"/>
        <v>12528.778</v>
      </c>
      <c r="G100" s="47">
        <v>2699487.2444893266</v>
      </c>
      <c r="H100" s="55">
        <f>5519*($B$4)</f>
        <v>13245.6</v>
      </c>
      <c r="I100" s="55">
        <f>708080*($B$4)</f>
        <v>1699392</v>
      </c>
      <c r="J100" s="55">
        <f>680345*($B$4)</f>
        <v>1632828</v>
      </c>
      <c r="K100" s="55">
        <f>1712690*($B$4)</f>
        <v>4110456</v>
      </c>
      <c r="L100" s="55">
        <f>4142308*($B$4)*$L$7</f>
        <v>16291280.01023116</v>
      </c>
      <c r="M100" s="55">
        <f>0*($B$4)*$M$7</f>
        <v>0</v>
      </c>
      <c r="N100" s="55">
        <f>0*($B$4)*$N$7</f>
        <v>0</v>
      </c>
      <c r="O100" s="55">
        <f>148856*($B$4)*$O$7</f>
        <v>822494.93712833873</v>
      </c>
      <c r="P100" s="55">
        <f>273157*($B$4)*$P$7</f>
        <v>1690430.2109831348</v>
      </c>
      <c r="Q100" s="55">
        <f>1741274*($B$4)*$Q$7</f>
        <v>12068965.599356346</v>
      </c>
      <c r="R100" s="56">
        <f t="shared" si="14"/>
        <v>14581890.74746782</v>
      </c>
    </row>
    <row r="101" spans="1:18" x14ac:dyDescent="0.4">
      <c r="A101" s="50" t="s">
        <v>103</v>
      </c>
      <c r="B101" s="51">
        <f t="shared" si="12"/>
        <v>22346554.427237276</v>
      </c>
      <c r="C101" s="52">
        <v>82783.37</v>
      </c>
      <c r="D101" s="53">
        <v>398</v>
      </c>
      <c r="E101" s="54">
        <v>60008.539999999994</v>
      </c>
      <c r="F101" s="54">
        <f t="shared" si="13"/>
        <v>6000.8539999999994</v>
      </c>
      <c r="G101" s="47">
        <v>9469774.7906286437</v>
      </c>
      <c r="H101" s="55">
        <f>427817*($B$4)</f>
        <v>1026760.7999999999</v>
      </c>
      <c r="I101" s="55">
        <f>0*($B$4)</f>
        <v>0</v>
      </c>
      <c r="J101" s="55">
        <f>217380*($B$4)</f>
        <v>521712</v>
      </c>
      <c r="K101" s="55">
        <f>317865*($B$4)</f>
        <v>762876</v>
      </c>
      <c r="L101" s="55">
        <f>1130391*($B$4)*$L$7</f>
        <v>4445713.911675619</v>
      </c>
      <c r="M101" s="55">
        <f>0*($B$4)*$M$7</f>
        <v>0</v>
      </c>
      <c r="N101" s="55">
        <f>0*($B$4)*$N$7</f>
        <v>0</v>
      </c>
      <c r="O101" s="55">
        <f>315836*($B$4)*$O$7</f>
        <v>1745132.9537463456</v>
      </c>
      <c r="P101" s="55">
        <f>1335008*($B$4)*$P$7</f>
        <v>8261687.802634283</v>
      </c>
      <c r="Q101" s="55">
        <f>199407*($B$4)*$Q$7</f>
        <v>1382112.3058581538</v>
      </c>
      <c r="R101" s="56">
        <f t="shared" si="14"/>
        <v>11388933.062238783</v>
      </c>
    </row>
    <row r="102" spans="1:18" s="57" customFormat="1" x14ac:dyDescent="0.4">
      <c r="A102" s="58" t="s">
        <v>3</v>
      </c>
      <c r="B102" s="51">
        <f t="shared" si="12"/>
        <v>0</v>
      </c>
      <c r="C102" s="52">
        <v>41042.07</v>
      </c>
      <c r="D102" s="53">
        <v>492</v>
      </c>
      <c r="E102" s="54">
        <v>240175.88</v>
      </c>
      <c r="F102" s="54">
        <f t="shared" si="13"/>
        <v>24017.588000000003</v>
      </c>
      <c r="G102" s="47">
        <v>0</v>
      </c>
      <c r="H102" s="55">
        <f>0*($B$4)</f>
        <v>0</v>
      </c>
      <c r="I102" s="55">
        <f>0*($B$4)</f>
        <v>0</v>
      </c>
      <c r="J102" s="55">
        <f>0*($B$4)</f>
        <v>0</v>
      </c>
      <c r="K102" s="55">
        <f>0*($B$4)</f>
        <v>0</v>
      </c>
      <c r="L102" s="55">
        <f>0*($B$4)*$L$7</f>
        <v>0</v>
      </c>
      <c r="M102" s="55">
        <f>0*($B$4)*$M$7</f>
        <v>0</v>
      </c>
      <c r="N102" s="55">
        <f>0*($B$4)*$N$7</f>
        <v>0</v>
      </c>
      <c r="O102" s="55">
        <f>0*($B$4)*$O$7</f>
        <v>0</v>
      </c>
      <c r="P102" s="55">
        <f>0*($B$4)*$P$7</f>
        <v>0</v>
      </c>
      <c r="Q102" s="55">
        <f>0*($B$4)*$Q$7</f>
        <v>0</v>
      </c>
      <c r="R102" s="56">
        <f t="shared" si="14"/>
        <v>0</v>
      </c>
    </row>
    <row r="103" spans="1:18" x14ac:dyDescent="0.4">
      <c r="A103" s="50" t="s">
        <v>104</v>
      </c>
      <c r="B103" s="51">
        <f t="shared" si="12"/>
        <v>22554516.153513189</v>
      </c>
      <c r="C103" s="52">
        <v>39489.11</v>
      </c>
      <c r="D103" s="53">
        <v>275</v>
      </c>
      <c r="E103" s="54">
        <v>59142.460000000006</v>
      </c>
      <c r="F103" s="54">
        <f t="shared" si="13"/>
        <v>5914.246000000001</v>
      </c>
      <c r="G103" s="47">
        <v>8476012.6517396644</v>
      </c>
      <c r="H103" s="55">
        <f>1750757*($B$4)</f>
        <v>4201816.8</v>
      </c>
      <c r="I103" s="55">
        <f>95510*($B$4)</f>
        <v>229224</v>
      </c>
      <c r="J103" s="55">
        <f>241350*($B$4)</f>
        <v>579240</v>
      </c>
      <c r="K103" s="55">
        <f>207196*($B$4)</f>
        <v>497270.39999999997</v>
      </c>
      <c r="L103" s="55">
        <f>513408*($B$4)*$L$7</f>
        <v>2019181.9361314415</v>
      </c>
      <c r="M103" s="55">
        <f>120370*($B$4)*$M$7</f>
        <v>530211.45212072786</v>
      </c>
      <c r="N103" s="55">
        <f>39168*($B$4)*$N$7</f>
        <v>193232.53979782693</v>
      </c>
      <c r="O103" s="55">
        <f>41524*($B$4)*$O$7</f>
        <v>229438.38185439041</v>
      </c>
      <c r="P103" s="55">
        <f>0*($B$4)*$P$7</f>
        <v>0</v>
      </c>
      <c r="Q103" s="55">
        <f>1579398*($B$4)*$Q$7</f>
        <v>10946984.868373509</v>
      </c>
      <c r="R103" s="56">
        <f t="shared" si="14"/>
        <v>11899867.242146455</v>
      </c>
    </row>
    <row r="104" spans="1:18" x14ac:dyDescent="0.4">
      <c r="A104" s="50" t="s">
        <v>105</v>
      </c>
      <c r="B104" s="51">
        <f t="shared" si="12"/>
        <v>25855599.881657124</v>
      </c>
      <c r="C104" s="52">
        <v>89687.29</v>
      </c>
      <c r="D104" s="53">
        <v>451</v>
      </c>
      <c r="E104" s="55">
        <v>102589.09999999999</v>
      </c>
      <c r="F104" s="54">
        <f t="shared" si="13"/>
        <v>10258.91</v>
      </c>
      <c r="G104" s="47">
        <v>3596820.2301539453</v>
      </c>
      <c r="H104" s="55">
        <f t="shared" ref="H104:H111" si="17">0*($B$4)</f>
        <v>0</v>
      </c>
      <c r="I104" s="55">
        <f>2895619*($B$4)</f>
        <v>6949485.5999999996</v>
      </c>
      <c r="J104" s="55">
        <f>370356*($B$4)</f>
        <v>888854.4</v>
      </c>
      <c r="K104" s="55">
        <f>1642068*($B$4)</f>
        <v>3940963.1999999997</v>
      </c>
      <c r="L104" s="55">
        <f>3128931*($B$4)*$L$7</f>
        <v>12305770.370936345</v>
      </c>
      <c r="M104" s="55">
        <f>7606*($B$4)*$M$7</f>
        <v>33503.267465566634</v>
      </c>
      <c r="N104" s="55">
        <f>0*($B$4)*$N$7</f>
        <v>0</v>
      </c>
      <c r="O104" s="55">
        <f>78794*($B$4)*$O$7</f>
        <v>435371.54079170694</v>
      </c>
      <c r="P104" s="55">
        <f>299785*($B$4)*$P$7</f>
        <v>1855217.4053733901</v>
      </c>
      <c r="Q104" s="55">
        <f>202113*($B$4)*$Q$7</f>
        <v>1400867.8956802371</v>
      </c>
      <c r="R104" s="56">
        <f t="shared" si="14"/>
        <v>3724960.1093109008</v>
      </c>
    </row>
    <row r="105" spans="1:18" s="57" customFormat="1" x14ac:dyDescent="0.4">
      <c r="A105" s="50" t="s">
        <v>2</v>
      </c>
      <c r="B105" s="51">
        <f t="shared" ref="B105:B123" si="18">NPV($B$2,G105:Q105)</f>
        <v>4674933.5298117818</v>
      </c>
      <c r="C105" s="52">
        <v>29197.71</v>
      </c>
      <c r="D105" s="53">
        <v>60</v>
      </c>
      <c r="E105" s="55">
        <v>58813.100000000006</v>
      </c>
      <c r="F105" s="54">
        <f t="shared" si="13"/>
        <v>5881.3100000000013</v>
      </c>
      <c r="G105" s="47">
        <v>4861930.8710042536</v>
      </c>
      <c r="H105" s="55">
        <f t="shared" si="17"/>
        <v>0</v>
      </c>
      <c r="I105" s="55">
        <f>0*($B$4)</f>
        <v>0</v>
      </c>
      <c r="J105" s="55">
        <f>0*($B$4)</f>
        <v>0</v>
      </c>
      <c r="K105" s="55">
        <f>0*($B$4)</f>
        <v>0</v>
      </c>
      <c r="L105" s="55">
        <f>0*($B$4)*$L$7</f>
        <v>0</v>
      </c>
      <c r="M105" s="55">
        <f>0*($B$4)*$M$7</f>
        <v>0</v>
      </c>
      <c r="N105" s="55">
        <f>0*($B$4)*$N$7</f>
        <v>0</v>
      </c>
      <c r="O105" s="55">
        <f>0*($B$4)*$O$7</f>
        <v>0</v>
      </c>
      <c r="P105" s="55">
        <f>0*($B$4)*$P$7</f>
        <v>0</v>
      </c>
      <c r="Q105" s="55">
        <f>0*($B$4)*$Q$7</f>
        <v>0</v>
      </c>
      <c r="R105" s="56">
        <f t="shared" si="14"/>
        <v>0</v>
      </c>
    </row>
    <row r="106" spans="1:18" x14ac:dyDescent="0.4">
      <c r="A106" s="50" t="s">
        <v>127</v>
      </c>
      <c r="B106" s="51">
        <f t="shared" si="18"/>
        <v>67572981.566992208</v>
      </c>
      <c r="C106" s="52">
        <v>95004.79</v>
      </c>
      <c r="D106" s="53">
        <v>259</v>
      </c>
      <c r="E106" s="54">
        <v>186411.94</v>
      </c>
      <c r="F106" s="54">
        <f t="shared" si="13"/>
        <v>18641.194</v>
      </c>
      <c r="G106" s="47">
        <v>11879179.464927293</v>
      </c>
      <c r="H106" s="55">
        <f t="shared" si="17"/>
        <v>0</v>
      </c>
      <c r="I106" s="55">
        <f>0*($B$4)</f>
        <v>0</v>
      </c>
      <c r="J106" s="55">
        <f>0*($B$4)</f>
        <v>0</v>
      </c>
      <c r="K106" s="55">
        <f>1516569*($B$4)</f>
        <v>3639765.6</v>
      </c>
      <c r="L106" s="55">
        <f>5686213*($B$4)*$L$7</f>
        <v>22363302.820750304</v>
      </c>
      <c r="M106" s="55">
        <f>0*($B$4)*$M$7</f>
        <v>0</v>
      </c>
      <c r="N106" s="55">
        <f>0*($B$4)*$N$7</f>
        <v>0</v>
      </c>
      <c r="O106" s="55">
        <f>288493*($B$4)*$O$7</f>
        <v>1594050.84038914</v>
      </c>
      <c r="P106" s="55">
        <f>659753*($B$4)*$P$7</f>
        <v>4082876.8912631059</v>
      </c>
      <c r="Q106" s="55">
        <f>7020122*($B$4)*$Q$7</f>
        <v>48657253.781590194</v>
      </c>
      <c r="R106" s="56">
        <f t="shared" si="14"/>
        <v>54334181.513242438</v>
      </c>
    </row>
    <row r="107" spans="1:18" x14ac:dyDescent="0.4">
      <c r="A107" s="50" t="s">
        <v>106</v>
      </c>
      <c r="B107" s="51">
        <f t="shared" si="18"/>
        <v>0</v>
      </c>
      <c r="C107" s="52">
        <v>37959.879999999997</v>
      </c>
      <c r="D107" s="53">
        <v>149</v>
      </c>
      <c r="E107" s="55">
        <v>102719.44</v>
      </c>
      <c r="F107" s="54">
        <f t="shared" si="13"/>
        <v>10271.944000000001</v>
      </c>
      <c r="G107" s="47">
        <v>0</v>
      </c>
      <c r="H107" s="55">
        <f t="shared" si="17"/>
        <v>0</v>
      </c>
      <c r="I107" s="55">
        <f>0*($B$4)</f>
        <v>0</v>
      </c>
      <c r="J107" s="55">
        <f>0*($B$4)</f>
        <v>0</v>
      </c>
      <c r="K107" s="55">
        <f>0*($B$4)</f>
        <v>0</v>
      </c>
      <c r="L107" s="55">
        <f>0*($B$4)*$L$7</f>
        <v>0</v>
      </c>
      <c r="M107" s="55">
        <f>0*($B$4)*$M$7</f>
        <v>0</v>
      </c>
      <c r="N107" s="55">
        <f>0*($B$4)*$N$7</f>
        <v>0</v>
      </c>
      <c r="O107" s="55">
        <f>0*($B$4)*$O$7</f>
        <v>0</v>
      </c>
      <c r="P107" s="55">
        <f>0*($B$4)*$P$7</f>
        <v>0</v>
      </c>
      <c r="Q107" s="55">
        <f>0*($B$4)*$Q$7</f>
        <v>0</v>
      </c>
      <c r="R107" s="56">
        <f t="shared" si="14"/>
        <v>0</v>
      </c>
    </row>
    <row r="108" spans="1:18" x14ac:dyDescent="0.4">
      <c r="A108" s="50" t="s">
        <v>107</v>
      </c>
      <c r="B108" s="51">
        <f t="shared" si="18"/>
        <v>46539151.222312577</v>
      </c>
      <c r="C108" s="52">
        <v>76409.09</v>
      </c>
      <c r="D108" s="53">
        <v>500</v>
      </c>
      <c r="E108" s="55">
        <v>195106.76</v>
      </c>
      <c r="F108" s="54">
        <f t="shared" si="13"/>
        <v>19510.676000000003</v>
      </c>
      <c r="G108" s="47">
        <v>9604898.0346397348</v>
      </c>
      <c r="H108" s="55">
        <f t="shared" si="17"/>
        <v>0</v>
      </c>
      <c r="I108" s="55">
        <f>0*($B$4)</f>
        <v>0</v>
      </c>
      <c r="J108" s="55">
        <f>732781*($B$4)</f>
        <v>1758674.4</v>
      </c>
      <c r="K108" s="55">
        <f>4438509*($B$4)</f>
        <v>10652421.6</v>
      </c>
      <c r="L108" s="55">
        <f>4806490*($B$4)*$L$7</f>
        <v>18903440.897291068</v>
      </c>
      <c r="M108" s="55">
        <f>0*($B$4)*$M$7</f>
        <v>0</v>
      </c>
      <c r="N108" s="55">
        <f>702667*($B$4)*$N$7</f>
        <v>3466557.6246456206</v>
      </c>
      <c r="O108" s="55">
        <f>512113*($B$4)*$O$7</f>
        <v>2829649.7940130392</v>
      </c>
      <c r="P108" s="55">
        <f>258374*($B$4)*$P$7</f>
        <v>1598945.7174172967</v>
      </c>
      <c r="Q108" s="55">
        <f>1444573*($B$4)*$Q$7</f>
        <v>10012497.655601012</v>
      </c>
      <c r="R108" s="56">
        <f t="shared" si="14"/>
        <v>17907650.791676968</v>
      </c>
    </row>
    <row r="109" spans="1:18" x14ac:dyDescent="0.4">
      <c r="A109" s="50" t="s">
        <v>108</v>
      </c>
      <c r="B109" s="51">
        <f t="shared" si="18"/>
        <v>18187483.226755749</v>
      </c>
      <c r="C109" s="52">
        <v>62610.95</v>
      </c>
      <c r="D109" s="53">
        <v>487</v>
      </c>
      <c r="E109" s="55">
        <v>69783.14</v>
      </c>
      <c r="F109" s="54">
        <f t="shared" si="13"/>
        <v>6978.3140000000003</v>
      </c>
      <c r="G109" s="47">
        <v>7098712.0112271262</v>
      </c>
      <c r="H109" s="55">
        <f t="shared" si="17"/>
        <v>0</v>
      </c>
      <c r="I109" s="55">
        <f>0*($B$4)</f>
        <v>0</v>
      </c>
      <c r="J109" s="55">
        <f>610200*($B$4)</f>
        <v>1464480</v>
      </c>
      <c r="K109" s="55">
        <f>485695*($B$4)</f>
        <v>1165668</v>
      </c>
      <c r="L109" s="55">
        <f>2019098*($B$4)*$L$7</f>
        <v>7940909.0019616401</v>
      </c>
      <c r="M109" s="55">
        <f>0*($B$4)*$M$7</f>
        <v>0</v>
      </c>
      <c r="N109" s="55">
        <f>30544*($B$4)*$N$7</f>
        <v>150686.64970345245</v>
      </c>
      <c r="O109" s="55">
        <f>253696*($B$4)*$O$7</f>
        <v>1401782.0952444714</v>
      </c>
      <c r="P109" s="55">
        <f>22348*($B$4)*$P$7</f>
        <v>138300.44390241179</v>
      </c>
      <c r="Q109" s="55">
        <f>374837*($B$4)*$Q$7</f>
        <v>2598037.3326460593</v>
      </c>
      <c r="R109" s="56">
        <f t="shared" si="14"/>
        <v>4288806.5214963946</v>
      </c>
    </row>
    <row r="110" spans="1:18" x14ac:dyDescent="0.4">
      <c r="A110" s="50" t="s">
        <v>109</v>
      </c>
      <c r="B110" s="51">
        <f t="shared" si="18"/>
        <v>21745255.533830769</v>
      </c>
      <c r="C110" s="52">
        <v>62166.02</v>
      </c>
      <c r="D110" s="53">
        <v>392</v>
      </c>
      <c r="E110" s="55">
        <v>135966.21000000002</v>
      </c>
      <c r="F110" s="54">
        <f t="shared" si="13"/>
        <v>13596.621000000003</v>
      </c>
      <c r="G110" s="47">
        <v>4326832.0566847492</v>
      </c>
      <c r="H110" s="55">
        <f t="shared" si="17"/>
        <v>0</v>
      </c>
      <c r="I110" s="55">
        <f>0*($B$4)</f>
        <v>0</v>
      </c>
      <c r="J110" s="55">
        <f>0*($B$4)</f>
        <v>0</v>
      </c>
      <c r="K110" s="55">
        <f>108001*($B$4)</f>
        <v>259202.4</v>
      </c>
      <c r="L110" s="55">
        <f>1156821*($B$4)*$L$7</f>
        <v>4549660.4387495136</v>
      </c>
      <c r="M110" s="55">
        <f>22348*($B$4)*$M$7</f>
        <v>98439.524233563396</v>
      </c>
      <c r="N110" s="55">
        <f>0*($B$4)*$N$7</f>
        <v>0</v>
      </c>
      <c r="O110" s="55">
        <f>627982*($B$4)*$O$7</f>
        <v>3469877.0328890234</v>
      </c>
      <c r="P110" s="55">
        <f>0*($B$4)*$P$7</f>
        <v>0</v>
      </c>
      <c r="Q110" s="55">
        <f>2501697*($B$4)*$Q$7</f>
        <v>17339542.790516008</v>
      </c>
      <c r="R110" s="56">
        <f t="shared" si="14"/>
        <v>20907859.347638596</v>
      </c>
    </row>
    <row r="111" spans="1:18" x14ac:dyDescent="0.4">
      <c r="A111" s="50" t="s">
        <v>110</v>
      </c>
      <c r="B111" s="51">
        <f t="shared" si="18"/>
        <v>32742293.586840723</v>
      </c>
      <c r="C111" s="52">
        <v>57475.35</v>
      </c>
      <c r="D111" s="53">
        <v>335</v>
      </c>
      <c r="E111" s="55">
        <v>111813.02</v>
      </c>
      <c r="F111" s="54">
        <f t="shared" si="13"/>
        <v>11181.302000000001</v>
      </c>
      <c r="G111" s="47">
        <v>14657287.865196601</v>
      </c>
      <c r="H111" s="55">
        <f t="shared" si="17"/>
        <v>0</v>
      </c>
      <c r="I111" s="55">
        <f>0*($B$4)</f>
        <v>0</v>
      </c>
      <c r="J111" s="55">
        <f>554194*($B$4)</f>
        <v>1330065.5999999999</v>
      </c>
      <c r="K111" s="55">
        <f>435481*($B$4)</f>
        <v>1045154.3999999999</v>
      </c>
      <c r="L111" s="55">
        <f>730546*($B$4)*$L$7</f>
        <v>2873163.8126267609</v>
      </c>
      <c r="M111" s="55">
        <f>0*($B$4)*$M$7</f>
        <v>0</v>
      </c>
      <c r="N111" s="55">
        <f>112301*($B$4)*$N$7</f>
        <v>554028.98927276756</v>
      </c>
      <c r="O111" s="55">
        <f>36752*($B$4)*$O$7</f>
        <v>203070.98087642223</v>
      </c>
      <c r="P111" s="55">
        <f>106743*($B$4)*$P$7</f>
        <v>660578.31946819148</v>
      </c>
      <c r="Q111" s="55">
        <f>2973645*($B$4)*$Q$7</f>
        <v>20610667.367512524</v>
      </c>
      <c r="R111" s="56">
        <f t="shared" si="14"/>
        <v>22028345.657129906</v>
      </c>
    </row>
    <row r="112" spans="1:18" x14ac:dyDescent="0.4">
      <c r="A112" s="50" t="s">
        <v>111</v>
      </c>
      <c r="B112" s="51">
        <f t="shared" si="18"/>
        <v>171238285.47689679</v>
      </c>
      <c r="C112" s="52">
        <v>97403.25</v>
      </c>
      <c r="D112" s="53">
        <v>929</v>
      </c>
      <c r="E112" s="55">
        <v>566170.30000000005</v>
      </c>
      <c r="F112" s="54">
        <f t="shared" si="13"/>
        <v>56617.030000000006</v>
      </c>
      <c r="G112" s="47">
        <v>39658191.999505363</v>
      </c>
      <c r="H112" s="55">
        <f>9073493*($B$4)</f>
        <v>21776383.199999999</v>
      </c>
      <c r="I112" s="55">
        <f>654476*($B$4)</f>
        <v>1570742.4</v>
      </c>
      <c r="J112" s="55">
        <f>2915397*($B$4)</f>
        <v>6996952.7999999998</v>
      </c>
      <c r="K112" s="55">
        <f>2032410*($B$4)</f>
        <v>4877784</v>
      </c>
      <c r="L112" s="55">
        <f>11904126*($B$4)*$L$7</f>
        <v>46817728.170641348</v>
      </c>
      <c r="M112" s="55">
        <f>482917*($B$4)*$M$7</f>
        <v>2127175.5738455225</v>
      </c>
      <c r="N112" s="55">
        <f>110379*($B$4)*$N$7</f>
        <v>544546.93909171619</v>
      </c>
      <c r="O112" s="55">
        <f>1602268*($B$4)*$O$7</f>
        <v>8853236.1337315869</v>
      </c>
      <c r="P112" s="55">
        <f>758680*($B$4)*$P$7</f>
        <v>4695085.9486254603</v>
      </c>
      <c r="Q112" s="55">
        <f>11811298*($B$4)*$Q$7</f>
        <v>81865432.57738094</v>
      </c>
      <c r="R112" s="56">
        <f t="shared" si="14"/>
        <v>98085477.172675222</v>
      </c>
    </row>
    <row r="113" spans="1:18" x14ac:dyDescent="0.4">
      <c r="A113" s="50" t="s">
        <v>112</v>
      </c>
      <c r="B113" s="51">
        <f t="shared" si="18"/>
        <v>21269600.319639038</v>
      </c>
      <c r="C113" s="52">
        <v>50667.09</v>
      </c>
      <c r="D113" s="53">
        <v>449</v>
      </c>
      <c r="E113" s="55">
        <v>103617.86000000002</v>
      </c>
      <c r="F113" s="54">
        <f t="shared" si="13"/>
        <v>10361.786000000002</v>
      </c>
      <c r="G113" s="47">
        <v>9102347.6486122832</v>
      </c>
      <c r="H113" s="55">
        <f>0*($B$4)</f>
        <v>0</v>
      </c>
      <c r="I113" s="55">
        <f>158434*($B$4)</f>
        <v>380241.6</v>
      </c>
      <c r="J113" s="55">
        <f>120697*($B$4)</f>
        <v>289672.8</v>
      </c>
      <c r="K113" s="55">
        <f>379765*($B$4)</f>
        <v>911436</v>
      </c>
      <c r="L113" s="55">
        <f>2330862*($B$4)*$L$7</f>
        <v>9167045.4025165252</v>
      </c>
      <c r="M113" s="55">
        <f>70631*($B$4)*$M$7</f>
        <v>311118.75944786181</v>
      </c>
      <c r="N113" s="55">
        <f>107770*($B$4)*$N$7</f>
        <v>531675.62331525248</v>
      </c>
      <c r="O113" s="55">
        <f>455502*($B$4)*$O$7</f>
        <v>2516849.094775035</v>
      </c>
      <c r="P113" s="55">
        <f>0*($B$4)*$P$7</f>
        <v>0</v>
      </c>
      <c r="Q113" s="55">
        <f>343044*($B$4)*$Q$7</f>
        <v>2377676.4800172737</v>
      </c>
      <c r="R113" s="56">
        <f t="shared" si="14"/>
        <v>5737319.9575554226</v>
      </c>
    </row>
    <row r="114" spans="1:18" x14ac:dyDescent="0.4">
      <c r="A114" s="50" t="s">
        <v>1</v>
      </c>
      <c r="B114" s="51">
        <f t="shared" si="18"/>
        <v>10364625.168794116</v>
      </c>
      <c r="C114" s="52">
        <v>29361.26</v>
      </c>
      <c r="D114" s="53">
        <v>295</v>
      </c>
      <c r="E114" s="55">
        <v>82440.58</v>
      </c>
      <c r="F114" s="54">
        <f t="shared" si="13"/>
        <v>8244.0580000000009</v>
      </c>
      <c r="G114" s="47">
        <v>116238.8927704981</v>
      </c>
      <c r="H114" s="55">
        <f>0*($B$4)</f>
        <v>0</v>
      </c>
      <c r="I114" s="55">
        <f>0*($B$4)</f>
        <v>0</v>
      </c>
      <c r="J114" s="55">
        <f>0*($B$4)</f>
        <v>0</v>
      </c>
      <c r="K114" s="55">
        <f>0*($B$4)</f>
        <v>0</v>
      </c>
      <c r="L114" s="55">
        <f>1375437*($B$4)*$L$7</f>
        <v>5409455.1403305391</v>
      </c>
      <c r="M114" s="55">
        <f>232365*($B$4)*$M$7</f>
        <v>1023532.3093132253</v>
      </c>
      <c r="N114" s="55">
        <f>0*($B$4)*$N$7</f>
        <v>0</v>
      </c>
      <c r="O114" s="55">
        <f>1156409*($B$4)*$O$7</f>
        <v>6389668.8594994163</v>
      </c>
      <c r="P114" s="55">
        <f>116573*($B$4)*$P$7</f>
        <v>721411.20668676624</v>
      </c>
      <c r="Q114" s="55">
        <f>49581*($B$4)*$Q$7</f>
        <v>343651.47781548853</v>
      </c>
      <c r="R114" s="56">
        <f t="shared" si="14"/>
        <v>8478263.853314897</v>
      </c>
    </row>
    <row r="115" spans="1:18" x14ac:dyDescent="0.4">
      <c r="A115" s="50" t="s">
        <v>113</v>
      </c>
      <c r="B115" s="51">
        <f t="shared" si="18"/>
        <v>27653861.270747758</v>
      </c>
      <c r="C115" s="52">
        <v>102872.22</v>
      </c>
      <c r="D115" s="53">
        <v>523</v>
      </c>
      <c r="E115" s="55">
        <v>109931.44999999997</v>
      </c>
      <c r="F115" s="54">
        <f t="shared" si="13"/>
        <v>10993.144999999997</v>
      </c>
      <c r="G115" s="47">
        <v>5634434.5500610331</v>
      </c>
      <c r="H115" s="55">
        <f>101594*($B$4)</f>
        <v>243825.59999999998</v>
      </c>
      <c r="I115" s="55">
        <f>144286*($B$4)</f>
        <v>346286.39999999997</v>
      </c>
      <c r="J115" s="55">
        <f>193641*($B$4)</f>
        <v>464738.39999999997</v>
      </c>
      <c r="K115" s="55">
        <f>138855*($B$4)</f>
        <v>333252</v>
      </c>
      <c r="L115" s="55">
        <f>3615724*($B$4)*$L$7</f>
        <v>14220278.193633368</v>
      </c>
      <c r="M115" s="55">
        <f>1852676*($B$4)*$M$7</f>
        <v>8160754.6088661747</v>
      </c>
      <c r="N115" s="55">
        <f>143607*($B$4)*$N$7</f>
        <v>708474.91173270356</v>
      </c>
      <c r="O115" s="55">
        <f>25851*($B$4)*$O$7</f>
        <v>142838.15647138632</v>
      </c>
      <c r="P115" s="55">
        <f>158040*($B$4)*$P$7</f>
        <v>978029.45025671925</v>
      </c>
      <c r="Q115" s="55">
        <f>513722*($B$4)*$Q$7</f>
        <v>3560664.8612639606</v>
      </c>
      <c r="R115" s="56">
        <f t="shared" si="14"/>
        <v>13550761.988590945</v>
      </c>
    </row>
    <row r="116" spans="1:18" x14ac:dyDescent="0.4">
      <c r="A116" s="50" t="s">
        <v>114</v>
      </c>
      <c r="B116" s="51">
        <f t="shared" si="18"/>
        <v>53240733.823334679</v>
      </c>
      <c r="C116" s="52">
        <v>81052.179999999993</v>
      </c>
      <c r="D116" s="53">
        <v>448</v>
      </c>
      <c r="E116" s="55">
        <v>294198.53000000003</v>
      </c>
      <c r="F116" s="54">
        <f t="shared" si="13"/>
        <v>29419.853000000003</v>
      </c>
      <c r="G116" s="47">
        <v>19920724.023511104</v>
      </c>
      <c r="H116" s="55">
        <f t="shared" ref="H116:H122" si="19">0*($B$4)</f>
        <v>0</v>
      </c>
      <c r="I116" s="55">
        <f>229662*($B$4)</f>
        <v>551188.79999999993</v>
      </c>
      <c r="J116" s="55">
        <f>70433*($B$4)</f>
        <v>169039.19999999998</v>
      </c>
      <c r="K116" s="55">
        <f>1173579*($B$4)</f>
        <v>2816589.6</v>
      </c>
      <c r="L116" s="55">
        <f>5572152*($B$4)*$L$7</f>
        <v>21914712.399843171</v>
      </c>
      <c r="M116" s="55">
        <f>43354*($B$4)*$M$7</f>
        <v>190967.7435842987</v>
      </c>
      <c r="N116" s="55">
        <f>0*($B$4)*$N$7</f>
        <v>0</v>
      </c>
      <c r="O116" s="55">
        <f>857472*($B$4)*$O$7</f>
        <v>4737910.320909542</v>
      </c>
      <c r="P116" s="55">
        <f>242433*($B$4)*$P$7</f>
        <v>1500294.9488362896</v>
      </c>
      <c r="Q116" s="55">
        <f>2072196*($B$4)*$Q$7</f>
        <v>14362623.13634949</v>
      </c>
      <c r="R116" s="56">
        <f t="shared" si="14"/>
        <v>20791796.14967962</v>
      </c>
    </row>
    <row r="117" spans="1:18" x14ac:dyDescent="0.4">
      <c r="A117" s="50" t="s">
        <v>115</v>
      </c>
      <c r="B117" s="51">
        <f t="shared" si="18"/>
        <v>31882410.78792987</v>
      </c>
      <c r="C117" s="52">
        <v>90654.54</v>
      </c>
      <c r="D117" s="53">
        <v>419</v>
      </c>
      <c r="E117" s="55">
        <v>117577.49999999999</v>
      </c>
      <c r="F117" s="54">
        <f t="shared" si="13"/>
        <v>11757.75</v>
      </c>
      <c r="G117" s="47">
        <v>15387653.550338799</v>
      </c>
      <c r="H117" s="55">
        <f t="shared" si="19"/>
        <v>0</v>
      </c>
      <c r="I117" s="55">
        <f>1570*($B$4)</f>
        <v>3768</v>
      </c>
      <c r="J117" s="55">
        <f>0*($B$4)</f>
        <v>0</v>
      </c>
      <c r="K117" s="55">
        <f>115242*($B$4)</f>
        <v>276580.8</v>
      </c>
      <c r="L117" s="55">
        <f>3953207*($B$4)*$L$7</f>
        <v>15547564.829898184</v>
      </c>
      <c r="M117" s="55">
        <f>0*($B$4)*$M$7</f>
        <v>0</v>
      </c>
      <c r="N117" s="55">
        <f>0*($B$4)*$N$7</f>
        <v>0</v>
      </c>
      <c r="O117" s="55">
        <f>353256*($B$4)*$O$7</f>
        <v>1951894.9287244615</v>
      </c>
      <c r="P117" s="55">
        <f>0*($B$4)*$P$7</f>
        <v>0</v>
      </c>
      <c r="Q117" s="55">
        <f>710094*($B$4)*$Q$7</f>
        <v>4921741.2413608339</v>
      </c>
      <c r="R117" s="56">
        <f t="shared" si="14"/>
        <v>6873636.1700852951</v>
      </c>
    </row>
    <row r="118" spans="1:18" x14ac:dyDescent="0.4">
      <c r="A118" s="50" t="s">
        <v>116</v>
      </c>
      <c r="B118" s="51">
        <f t="shared" si="18"/>
        <v>41658558.91594445</v>
      </c>
      <c r="C118" s="52">
        <v>43113.18</v>
      </c>
      <c r="D118" s="53">
        <v>336</v>
      </c>
      <c r="E118" s="55">
        <v>106127.18999999999</v>
      </c>
      <c r="F118" s="54">
        <f t="shared" si="13"/>
        <v>10612.718999999999</v>
      </c>
      <c r="G118" s="47">
        <v>16876614.278821416</v>
      </c>
      <c r="H118" s="55">
        <f t="shared" si="19"/>
        <v>0</v>
      </c>
      <c r="I118" s="55">
        <f>0*($B$4)</f>
        <v>0</v>
      </c>
      <c r="J118" s="55">
        <f>352931*($B$4)</f>
        <v>847034.4</v>
      </c>
      <c r="K118" s="55">
        <f>839631*($B$4)</f>
        <v>2015114.4</v>
      </c>
      <c r="L118" s="55">
        <f>3625119*($B$4)*$L$7</f>
        <v>14257227.782050289</v>
      </c>
      <c r="M118" s="55">
        <f>623350*($B$4)*$M$7</f>
        <v>2745761.4744492457</v>
      </c>
      <c r="N118" s="55">
        <f>0*($B$4)*$N$7</f>
        <v>0</v>
      </c>
      <c r="O118" s="55">
        <f>240124*($B$4)*$O$7</f>
        <v>1326790.8198729323</v>
      </c>
      <c r="P118" s="55">
        <f>268921*($B$4)*$P$7</f>
        <v>1664215.7541918957</v>
      </c>
      <c r="Q118" s="55">
        <f>1696904*($B$4)*$Q$7</f>
        <v>11761432.147617308</v>
      </c>
      <c r="R118" s="56">
        <f t="shared" si="14"/>
        <v>17498200.196131382</v>
      </c>
    </row>
    <row r="119" spans="1:18" x14ac:dyDescent="0.4">
      <c r="A119" s="50" t="s">
        <v>117</v>
      </c>
      <c r="B119" s="51">
        <f t="shared" si="18"/>
        <v>25279871.729769345</v>
      </c>
      <c r="C119" s="52">
        <v>34002.629999999997</v>
      </c>
      <c r="D119" s="53">
        <v>293</v>
      </c>
      <c r="E119" s="55">
        <v>101436.84999999999</v>
      </c>
      <c r="F119" s="54">
        <f t="shared" si="13"/>
        <v>10143.684999999999</v>
      </c>
      <c r="G119" s="47">
        <v>13727642.697313545</v>
      </c>
      <c r="H119" s="55">
        <f t="shared" si="19"/>
        <v>0</v>
      </c>
      <c r="I119" s="55">
        <f>429080*($B$4)</f>
        <v>1029792</v>
      </c>
      <c r="J119" s="55">
        <f>109822*($B$4)</f>
        <v>263572.8</v>
      </c>
      <c r="K119" s="55">
        <f>928136*($B$4)</f>
        <v>2227526.4</v>
      </c>
      <c r="L119" s="55">
        <f>1142798*($B$4)*$L$7</f>
        <v>4494509.3926217332</v>
      </c>
      <c r="M119" s="55">
        <f>74589*($B$4)*$M$7</f>
        <v>328553.14448976464</v>
      </c>
      <c r="N119" s="55">
        <f>10327*($B$4)*$N$7</f>
        <v>50947.519365098007</v>
      </c>
      <c r="O119" s="55">
        <f>305882*($B$4)*$O$7</f>
        <v>1690132.7212788903</v>
      </c>
      <c r="P119" s="55">
        <f>8150*($B$4)*$P$7</f>
        <v>50436.218802785763</v>
      </c>
      <c r="Q119" s="55">
        <f>899104*($B$4)*$Q$7</f>
        <v>6231790.772873017</v>
      </c>
      <c r="R119" s="56">
        <f t="shared" si="14"/>
        <v>8351860.376809556</v>
      </c>
    </row>
    <row r="120" spans="1:18" x14ac:dyDescent="0.4">
      <c r="A120" s="50" t="s">
        <v>118</v>
      </c>
      <c r="B120" s="51">
        <f t="shared" si="18"/>
        <v>28026943.323452801</v>
      </c>
      <c r="C120" s="52">
        <v>72928.45</v>
      </c>
      <c r="D120" s="53">
        <v>346</v>
      </c>
      <c r="E120" s="55">
        <v>128575.93</v>
      </c>
      <c r="F120" s="54">
        <f t="shared" si="13"/>
        <v>12857.593000000001</v>
      </c>
      <c r="G120" s="47">
        <v>20431114.894143969</v>
      </c>
      <c r="H120" s="55">
        <f t="shared" si="19"/>
        <v>0</v>
      </c>
      <c r="I120" s="55">
        <f>88955*($B$4)</f>
        <v>213492</v>
      </c>
      <c r="J120" s="55">
        <f>409653*($B$4)</f>
        <v>983167.2</v>
      </c>
      <c r="K120" s="55">
        <f>414055*($B$4)</f>
        <v>993732</v>
      </c>
      <c r="L120" s="55">
        <f>277025*($B$4)*$L$7</f>
        <v>1089511.4136453124</v>
      </c>
      <c r="M120" s="55">
        <f>66953*($B$4)*$M$7</f>
        <v>294917.7316095297</v>
      </c>
      <c r="N120" s="55">
        <f>213812*($B$4)*$N$7</f>
        <v>1054826.2816394244</v>
      </c>
      <c r="O120" s="55">
        <f>554208*($B$4)*$O$7</f>
        <v>3062243.2022627397</v>
      </c>
      <c r="P120" s="55">
        <f>148897*($B$4)*$P$7</f>
        <v>921448.05780102964</v>
      </c>
      <c r="Q120" s="55">
        <f>423059*($B$4)*$Q$7</f>
        <v>2932269.4288768433</v>
      </c>
      <c r="R120" s="56">
        <f t="shared" si="14"/>
        <v>8265704.7021895666</v>
      </c>
    </row>
    <row r="121" spans="1:18" x14ac:dyDescent="0.4">
      <c r="A121" s="43" t="s">
        <v>119</v>
      </c>
      <c r="B121" s="44">
        <f t="shared" si="18"/>
        <v>22700087.514445774</v>
      </c>
      <c r="C121" s="45">
        <v>71639.240000000005</v>
      </c>
      <c r="D121" s="46">
        <v>394</v>
      </c>
      <c r="E121" s="48">
        <v>95961.950000000012</v>
      </c>
      <c r="F121" s="47">
        <f t="shared" si="13"/>
        <v>9596.1950000000015</v>
      </c>
      <c r="G121" s="47">
        <v>3227393.499893175</v>
      </c>
      <c r="H121" s="48">
        <f t="shared" si="19"/>
        <v>0</v>
      </c>
      <c r="I121" s="48">
        <f>1755326*($B$4)</f>
        <v>4212782.3999999994</v>
      </c>
      <c r="J121" s="48">
        <f>91016*($B$4)</f>
        <v>218438.39999999999</v>
      </c>
      <c r="K121" s="48">
        <f>335935*($B$4)</f>
        <v>806244</v>
      </c>
      <c r="L121" s="48">
        <f>1519003*($B$4)*$L$7</f>
        <v>5974085.7534932606</v>
      </c>
      <c r="M121" s="48">
        <f>0*($B$4)*$M$7</f>
        <v>0</v>
      </c>
      <c r="N121" s="48">
        <f>0*($B$4)*$N$7</f>
        <v>0</v>
      </c>
      <c r="O121" s="48">
        <f>839307*($B$4)*$O$7</f>
        <v>4637540.6983687226</v>
      </c>
      <c r="P121" s="48">
        <f>0*($B$4)*$P$7</f>
        <v>0</v>
      </c>
      <c r="Q121" s="48">
        <f>1559774*($B$4)*$Q$7</f>
        <v>10810968.721045882</v>
      </c>
      <c r="R121" s="49">
        <f t="shared" si="14"/>
        <v>15448509.419414604</v>
      </c>
    </row>
    <row r="122" spans="1:18" x14ac:dyDescent="0.4">
      <c r="A122" s="43" t="s">
        <v>120</v>
      </c>
      <c r="B122" s="44">
        <f t="shared" si="18"/>
        <v>31656861.044154663</v>
      </c>
      <c r="C122" s="45">
        <v>48477.96</v>
      </c>
      <c r="D122" s="46">
        <v>244</v>
      </c>
      <c r="E122" s="48">
        <v>91956.479999999996</v>
      </c>
      <c r="F122" s="47">
        <f t="shared" si="13"/>
        <v>9195.6479999999992</v>
      </c>
      <c r="G122" s="47">
        <v>8092317.9023371506</v>
      </c>
      <c r="H122" s="48">
        <f t="shared" si="19"/>
        <v>0</v>
      </c>
      <c r="I122" s="48">
        <f>0*($B$4)</f>
        <v>0</v>
      </c>
      <c r="J122" s="48">
        <f>1016137*($B$4)</f>
        <v>2438728.7999999998</v>
      </c>
      <c r="K122" s="48">
        <f>401824*($B$4)</f>
        <v>964377.59999999998</v>
      </c>
      <c r="L122" s="48">
        <f>2000780*($B$4)*$L$7</f>
        <v>7868866.1535719456</v>
      </c>
      <c r="M122" s="48">
        <f>0*($B$4)*$M$7</f>
        <v>0</v>
      </c>
      <c r="N122" s="48">
        <f>254751*($B$4)*$N$7</f>
        <v>1256795.9238673463</v>
      </c>
      <c r="O122" s="48">
        <f>280145*($B$4)*$O$7</f>
        <v>1547924.4649985118</v>
      </c>
      <c r="P122" s="48">
        <f>0*($B$4)*$P$7</f>
        <v>0</v>
      </c>
      <c r="Q122" s="48">
        <f>2837148*($B$4)*$Q$7</f>
        <v>19664591.335012559</v>
      </c>
      <c r="R122" s="49">
        <f t="shared" si="14"/>
        <v>22469311.723878417</v>
      </c>
    </row>
    <row r="123" spans="1:18" ht="27" thickBot="1" x14ac:dyDescent="0.45">
      <c r="A123" s="59" t="s">
        <v>121</v>
      </c>
      <c r="B123" s="60">
        <f t="shared" si="18"/>
        <v>21437317.036978796</v>
      </c>
      <c r="C123" s="61">
        <v>93205</v>
      </c>
      <c r="D123" s="62">
        <v>514</v>
      </c>
      <c r="E123" s="63">
        <v>73269.450000000012</v>
      </c>
      <c r="F123" s="64">
        <f t="shared" si="13"/>
        <v>7326.9450000000015</v>
      </c>
      <c r="G123" s="47">
        <v>7296939.7121334923</v>
      </c>
      <c r="H123" s="63">
        <f>12979*($B$4)</f>
        <v>31149.599999999999</v>
      </c>
      <c r="I123" s="63">
        <f>40781*($B$4)</f>
        <v>97874.4</v>
      </c>
      <c r="J123" s="63">
        <f>2684*($B$4)</f>
        <v>6441.5999999999995</v>
      </c>
      <c r="K123" s="63">
        <f>619018*($B$4)</f>
        <v>1485643.2</v>
      </c>
      <c r="L123" s="63">
        <f>3159373*($B$4)*$L$7</f>
        <v>12425495.689785512</v>
      </c>
      <c r="M123" s="63">
        <f>0*($B$4)*$M$7</f>
        <v>0</v>
      </c>
      <c r="N123" s="63">
        <f>130931*($B$4)*$N$7</f>
        <v>645938.76808285527</v>
      </c>
      <c r="O123" s="63">
        <f>207065*($B$4)*$O$7</f>
        <v>1144125.2899209938</v>
      </c>
      <c r="P123" s="63">
        <f>0*($B$4)*$P$7</f>
        <v>0</v>
      </c>
      <c r="Q123" s="63">
        <f>440383*($B$4)*$Q$7</f>
        <v>3052344.0179669289</v>
      </c>
      <c r="R123" s="65">
        <f t="shared" si="14"/>
        <v>4842408.0759707782</v>
      </c>
    </row>
    <row r="127" spans="1:18" x14ac:dyDescent="0.4">
      <c r="G127" s="24">
        <f>2.4</f>
        <v>2.4</v>
      </c>
    </row>
  </sheetData>
  <mergeCells count="1">
    <mergeCell ref="A1:B1"/>
  </mergeCells>
  <pageMargins left="0.7" right="0.7" top="0.75" bottom="0.75" header="0.3" footer="0.3"/>
  <pageSetup paperSize="17" scale="46" fitToHeight="0" orientation="landscape" r:id="rId1"/>
  <headerFooter>
    <oddHeader>&amp;C&amp;"-,Bold"&amp;18Net Present Value
Analysis&amp;R&amp;"-,Bold"&amp;14BSC Planing Document</oddHeader>
    <oddFooter>&amp;L&amp;"-,Bold"&amp;14Working Document&amp;C&amp;P&amp;R&amp;D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E40DD-B025-4F11-9AD2-0AFF14D7931F}">
  <dimension ref="A1:I5"/>
  <sheetViews>
    <sheetView workbookViewId="0">
      <selection activeCell="H15" sqref="H15"/>
    </sheetView>
  </sheetViews>
  <sheetFormatPr defaultRowHeight="18.75" x14ac:dyDescent="0.3"/>
  <cols>
    <col min="1" max="1" width="33" style="95" customWidth="1"/>
    <col min="2" max="2" width="24.7109375" style="95" customWidth="1"/>
    <col min="3" max="3" width="27.5703125" style="95" customWidth="1"/>
    <col min="4" max="8" width="9.140625" style="95"/>
    <col min="9" max="9" width="14.42578125" style="95" customWidth="1"/>
    <col min="10" max="16384" width="9.140625" style="95"/>
  </cols>
  <sheetData>
    <row r="1" spans="1:9" x14ac:dyDescent="0.3">
      <c r="A1" s="354" t="s">
        <v>157</v>
      </c>
      <c r="B1" s="355"/>
      <c r="C1" s="356"/>
      <c r="I1" s="96" t="s">
        <v>246</v>
      </c>
    </row>
    <row r="2" spans="1:9" ht="37.5" x14ac:dyDescent="0.3">
      <c r="A2" s="97" t="s">
        <v>153</v>
      </c>
      <c r="B2" s="98" t="s">
        <v>151</v>
      </c>
      <c r="C2" s="99" t="s">
        <v>152</v>
      </c>
      <c r="I2" s="100" t="s">
        <v>160</v>
      </c>
    </row>
    <row r="3" spans="1:9" ht="19.5" thickBot="1" x14ac:dyDescent="0.35">
      <c r="A3" s="101" t="s">
        <v>154</v>
      </c>
      <c r="B3" s="102">
        <v>650</v>
      </c>
      <c r="C3" s="103">
        <v>500</v>
      </c>
      <c r="I3" s="104" t="s">
        <v>247</v>
      </c>
    </row>
    <row r="4" spans="1:9" x14ac:dyDescent="0.3">
      <c r="A4" s="101" t="s">
        <v>155</v>
      </c>
      <c r="B4" s="102">
        <v>650</v>
      </c>
      <c r="C4" s="103">
        <v>500</v>
      </c>
    </row>
    <row r="5" spans="1:9" ht="19.5" thickBot="1" x14ac:dyDescent="0.35">
      <c r="A5" s="105" t="s">
        <v>156</v>
      </c>
      <c r="B5" s="106">
        <v>650</v>
      </c>
      <c r="C5" s="107">
        <v>500</v>
      </c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AF5D1-0A0C-4A9D-BE55-F09B9176AEC4}">
  <dimension ref="B3:J126"/>
  <sheetViews>
    <sheetView zoomScale="80" zoomScaleNormal="80" workbookViewId="0">
      <selection activeCell="N36" sqref="N36"/>
    </sheetView>
  </sheetViews>
  <sheetFormatPr defaultRowHeight="15" x14ac:dyDescent="0.25"/>
  <cols>
    <col min="2" max="2" width="20.85546875" style="275" bestFit="1" customWidth="1"/>
    <col min="4" max="4" width="25" bestFit="1" customWidth="1"/>
    <col min="5" max="5" width="13" bestFit="1" customWidth="1"/>
  </cols>
  <sheetData>
    <row r="3" spans="2:5" ht="15.75" x14ac:dyDescent="0.3">
      <c r="B3" s="274" t="s">
        <v>362</v>
      </c>
      <c r="D3" t="s">
        <v>362</v>
      </c>
      <c r="E3" t="s">
        <v>363</v>
      </c>
    </row>
    <row r="4" spans="2:5" ht="15.75" x14ac:dyDescent="0.3">
      <c r="B4" s="274" t="s">
        <v>180</v>
      </c>
      <c r="D4" t="s">
        <v>122</v>
      </c>
      <c r="E4">
        <v>2586728.2579200002</v>
      </c>
    </row>
    <row r="5" spans="2:5" ht="15.75" x14ac:dyDescent="0.3">
      <c r="B5" s="274" t="s">
        <v>17</v>
      </c>
      <c r="D5" t="s">
        <v>17</v>
      </c>
      <c r="E5">
        <v>294918.85327999998</v>
      </c>
    </row>
    <row r="6" spans="2:5" ht="15.75" x14ac:dyDescent="0.3">
      <c r="B6" s="274" t="s">
        <v>18</v>
      </c>
      <c r="D6" t="s">
        <v>18</v>
      </c>
      <c r="E6">
        <v>846024.35279999999</v>
      </c>
    </row>
    <row r="7" spans="2:5" ht="15.75" x14ac:dyDescent="0.3">
      <c r="B7" s="274" t="s">
        <v>19</v>
      </c>
      <c r="D7" t="s">
        <v>19</v>
      </c>
      <c r="E7">
        <v>303641.78175999998</v>
      </c>
    </row>
    <row r="8" spans="2:5" ht="15.75" x14ac:dyDescent="0.3">
      <c r="B8" s="274" t="s">
        <v>20</v>
      </c>
      <c r="D8" t="s">
        <v>20</v>
      </c>
      <c r="E8">
        <v>3939144.5312640006</v>
      </c>
    </row>
    <row r="9" spans="2:5" ht="15.75" x14ac:dyDescent="0.3">
      <c r="B9" s="274" t="s">
        <v>21</v>
      </c>
      <c r="D9" t="s">
        <v>21</v>
      </c>
      <c r="E9">
        <v>303641.78175999998</v>
      </c>
    </row>
    <row r="10" spans="2:5" ht="15.75" x14ac:dyDescent="0.3">
      <c r="B10" s="274" t="s">
        <v>21</v>
      </c>
      <c r="D10" t="s">
        <v>22</v>
      </c>
      <c r="E10">
        <v>280149.25328</v>
      </c>
    </row>
    <row r="11" spans="2:5" ht="15.75" x14ac:dyDescent="0.3">
      <c r="B11" s="274" t="s">
        <v>22</v>
      </c>
      <c r="D11" t="s">
        <v>23</v>
      </c>
      <c r="E11">
        <v>402738.86379999999</v>
      </c>
    </row>
    <row r="12" spans="2:5" ht="15.75" x14ac:dyDescent="0.3">
      <c r="B12" s="274" t="s">
        <v>23</v>
      </c>
      <c r="D12" t="s">
        <v>24</v>
      </c>
      <c r="E12">
        <v>2157298.8739200002</v>
      </c>
    </row>
    <row r="13" spans="2:5" ht="15.75" x14ac:dyDescent="0.3">
      <c r="B13" s="274" t="s">
        <v>24</v>
      </c>
      <c r="D13" t="s">
        <v>25</v>
      </c>
      <c r="E13">
        <v>2019881.4710400002</v>
      </c>
    </row>
    <row r="14" spans="2:5" ht="15.75" x14ac:dyDescent="0.3">
      <c r="B14" s="274" t="s">
        <v>25</v>
      </c>
      <c r="D14" t="s">
        <v>27</v>
      </c>
      <c r="E14">
        <v>1603315.2064</v>
      </c>
    </row>
    <row r="15" spans="2:5" ht="15.75" x14ac:dyDescent="0.3">
      <c r="B15" s="274" t="s">
        <v>27</v>
      </c>
      <c r="D15" t="s">
        <v>29</v>
      </c>
      <c r="E15">
        <v>1419081.4681600002</v>
      </c>
    </row>
    <row r="16" spans="2:5" ht="15.75" x14ac:dyDescent="0.3">
      <c r="B16" s="274" t="s">
        <v>29</v>
      </c>
      <c r="D16" t="s">
        <v>30</v>
      </c>
      <c r="E16">
        <v>1257876.9472000001</v>
      </c>
    </row>
    <row r="17" spans="2:5" ht="15.75" x14ac:dyDescent="0.3">
      <c r="B17" s="274" t="s">
        <v>30</v>
      </c>
      <c r="D17" t="s">
        <v>32</v>
      </c>
      <c r="E17">
        <v>431892.29639999999</v>
      </c>
    </row>
    <row r="18" spans="2:5" ht="15.75" x14ac:dyDescent="0.3">
      <c r="B18" s="274" t="s">
        <v>32</v>
      </c>
      <c r="D18" t="s">
        <v>33</v>
      </c>
      <c r="E18">
        <v>805209.54715999996</v>
      </c>
    </row>
    <row r="19" spans="2:5" ht="15.75" x14ac:dyDescent="0.3">
      <c r="B19" s="274" t="s">
        <v>33</v>
      </c>
      <c r="D19" t="s">
        <v>34</v>
      </c>
      <c r="E19">
        <v>641950.32459999993</v>
      </c>
    </row>
    <row r="20" spans="2:5" ht="15.75" x14ac:dyDescent="0.3">
      <c r="B20" s="274" t="s">
        <v>34</v>
      </c>
      <c r="D20" t="s">
        <v>36</v>
      </c>
      <c r="E20">
        <v>280149.25328</v>
      </c>
    </row>
    <row r="21" spans="2:5" ht="15.75" x14ac:dyDescent="0.3">
      <c r="B21" s="274" t="s">
        <v>36</v>
      </c>
      <c r="D21" t="s">
        <v>37</v>
      </c>
      <c r="E21">
        <v>475622.44529999996</v>
      </c>
    </row>
    <row r="22" spans="2:5" ht="15.75" x14ac:dyDescent="0.3">
      <c r="B22" s="274" t="s">
        <v>37</v>
      </c>
      <c r="D22" t="s">
        <v>38</v>
      </c>
      <c r="E22">
        <v>402738.86379999999</v>
      </c>
    </row>
    <row r="23" spans="2:5" ht="15.75" x14ac:dyDescent="0.3">
      <c r="B23" s="274" t="s">
        <v>38</v>
      </c>
      <c r="D23" t="s">
        <v>39</v>
      </c>
      <c r="E23">
        <v>694426.50328000006</v>
      </c>
    </row>
    <row r="24" spans="2:5" ht="15.75" x14ac:dyDescent="0.3">
      <c r="B24" s="274" t="s">
        <v>39</v>
      </c>
      <c r="D24" t="s">
        <v>41</v>
      </c>
      <c r="E24">
        <v>402738.86379999999</v>
      </c>
    </row>
    <row r="25" spans="2:5" ht="15.75" x14ac:dyDescent="0.3">
      <c r="B25" s="274" t="s">
        <v>41</v>
      </c>
      <c r="D25" t="s">
        <v>42</v>
      </c>
      <c r="E25">
        <v>570662.63557599997</v>
      </c>
    </row>
    <row r="26" spans="2:5" ht="15.75" x14ac:dyDescent="0.3">
      <c r="B26" s="274" t="s">
        <v>42</v>
      </c>
      <c r="D26" t="s">
        <v>43</v>
      </c>
      <c r="E26">
        <v>448219.69922000001</v>
      </c>
    </row>
    <row r="27" spans="2:5" ht="15.75" x14ac:dyDescent="0.3">
      <c r="B27" s="274" t="s">
        <v>42</v>
      </c>
      <c r="D27" t="s">
        <v>44</v>
      </c>
      <c r="E27">
        <v>50024.508719999998</v>
      </c>
    </row>
    <row r="28" spans="2:5" ht="15.75" x14ac:dyDescent="0.3">
      <c r="B28" s="274" t="s">
        <v>42</v>
      </c>
      <c r="D28" t="s">
        <v>45</v>
      </c>
      <c r="E28">
        <v>179210.28924000001</v>
      </c>
    </row>
    <row r="29" spans="2:5" ht="15.75" x14ac:dyDescent="0.3">
      <c r="B29" s="274" t="s">
        <v>43</v>
      </c>
      <c r="D29" t="s">
        <v>164</v>
      </c>
      <c r="E29">
        <v>298943.27606399998</v>
      </c>
    </row>
    <row r="30" spans="2:5" ht="15.75" x14ac:dyDescent="0.3">
      <c r="B30" s="274" t="s">
        <v>44</v>
      </c>
      <c r="D30" t="s">
        <v>46</v>
      </c>
      <c r="E30">
        <v>1613924.1246719998</v>
      </c>
    </row>
    <row r="31" spans="2:5" ht="15.75" x14ac:dyDescent="0.3">
      <c r="B31" s="274" t="s">
        <v>45</v>
      </c>
      <c r="D31" t="s">
        <v>47</v>
      </c>
      <c r="E31">
        <v>393778.76355999999</v>
      </c>
    </row>
    <row r="32" spans="2:5" ht="15.75" x14ac:dyDescent="0.3">
      <c r="B32" s="274" t="s">
        <v>183</v>
      </c>
      <c r="D32" t="s">
        <v>48</v>
      </c>
      <c r="E32">
        <v>303641.78175999998</v>
      </c>
    </row>
    <row r="33" spans="2:5" ht="15.75" x14ac:dyDescent="0.3">
      <c r="B33" s="274" t="s">
        <v>183</v>
      </c>
      <c r="D33" t="s">
        <v>49</v>
      </c>
      <c r="E33">
        <v>467029.72900000005</v>
      </c>
    </row>
    <row r="34" spans="2:5" ht="15.75" x14ac:dyDescent="0.3">
      <c r="B34" s="274" t="s">
        <v>46</v>
      </c>
      <c r="D34" t="s">
        <v>50</v>
      </c>
      <c r="E34">
        <v>793548.1741200001</v>
      </c>
    </row>
    <row r="35" spans="2:5" ht="15.75" x14ac:dyDescent="0.3">
      <c r="B35" s="274" t="s">
        <v>46</v>
      </c>
      <c r="D35" t="s">
        <v>52</v>
      </c>
      <c r="E35">
        <v>443553.66943999997</v>
      </c>
    </row>
    <row r="36" spans="2:5" ht="15.75" x14ac:dyDescent="0.3">
      <c r="B36" s="274" t="s">
        <v>47</v>
      </c>
      <c r="D36" t="s">
        <v>0</v>
      </c>
      <c r="E36">
        <v>179210.28924000001</v>
      </c>
    </row>
    <row r="37" spans="2:5" ht="15.75" x14ac:dyDescent="0.3">
      <c r="B37" s="274" t="s">
        <v>48</v>
      </c>
      <c r="D37" t="s">
        <v>53</v>
      </c>
      <c r="E37">
        <v>1468594.285312</v>
      </c>
    </row>
    <row r="38" spans="2:5" ht="15.75" x14ac:dyDescent="0.3">
      <c r="B38" s="274" t="s">
        <v>49</v>
      </c>
      <c r="D38" t="s">
        <v>58</v>
      </c>
      <c r="E38">
        <v>458323.26943999995</v>
      </c>
    </row>
    <row r="39" spans="2:5" ht="15.75" x14ac:dyDescent="0.3">
      <c r="B39" s="274" t="s">
        <v>50</v>
      </c>
      <c r="D39" t="s">
        <v>59</v>
      </c>
      <c r="E39">
        <v>472707.10204000003</v>
      </c>
    </row>
    <row r="40" spans="2:5" ht="15.75" x14ac:dyDescent="0.3">
      <c r="B40" s="274" t="s">
        <v>50</v>
      </c>
      <c r="D40" t="s">
        <v>60</v>
      </c>
      <c r="E40">
        <v>376873.14453400002</v>
      </c>
    </row>
    <row r="41" spans="2:5" ht="15.75" x14ac:dyDescent="0.3">
      <c r="B41" s="274" t="s">
        <v>52</v>
      </c>
      <c r="D41" t="s">
        <v>61</v>
      </c>
      <c r="E41">
        <v>14778514.735069066</v>
      </c>
    </row>
    <row r="42" spans="2:5" ht="15.75" x14ac:dyDescent="0.3">
      <c r="B42" s="274" t="s">
        <v>0</v>
      </c>
      <c r="D42" t="s">
        <v>62</v>
      </c>
      <c r="E42">
        <v>1003915.0297599999</v>
      </c>
    </row>
    <row r="43" spans="2:5" ht="15.75" x14ac:dyDescent="0.3">
      <c r="B43" s="274" t="s">
        <v>53</v>
      </c>
      <c r="D43" t="s">
        <v>63</v>
      </c>
      <c r="E43">
        <v>583490.14591999992</v>
      </c>
    </row>
    <row r="44" spans="2:5" ht="15.75" x14ac:dyDescent="0.3">
      <c r="B44" s="274" t="s">
        <v>53</v>
      </c>
      <c r="D44" t="s">
        <v>64</v>
      </c>
      <c r="E44">
        <v>185167.70736</v>
      </c>
    </row>
    <row r="45" spans="2:5" ht="15.75" x14ac:dyDescent="0.3">
      <c r="B45" s="274" t="s">
        <v>53</v>
      </c>
      <c r="D45" t="s">
        <v>65</v>
      </c>
      <c r="E45">
        <v>262529.85691999999</v>
      </c>
    </row>
    <row r="46" spans="2:5" ht="15.75" x14ac:dyDescent="0.3">
      <c r="B46" s="274" t="s">
        <v>53</v>
      </c>
      <c r="D46" t="s">
        <v>66</v>
      </c>
      <c r="E46">
        <v>1189478.304</v>
      </c>
    </row>
    <row r="47" spans="2:5" ht="15.75" x14ac:dyDescent="0.3">
      <c r="B47" s="274" t="s">
        <v>58</v>
      </c>
      <c r="D47" t="s">
        <v>68</v>
      </c>
      <c r="E47">
        <v>630328.52177999995</v>
      </c>
    </row>
    <row r="48" spans="2:5" ht="15.75" x14ac:dyDescent="0.3">
      <c r="B48" s="274" t="s">
        <v>59</v>
      </c>
      <c r="D48" t="s">
        <v>69</v>
      </c>
      <c r="E48">
        <v>635966.32459999993</v>
      </c>
    </row>
    <row r="49" spans="2:5" ht="15.75" x14ac:dyDescent="0.3">
      <c r="B49" s="274" t="s">
        <v>60</v>
      </c>
      <c r="D49" t="s">
        <v>70</v>
      </c>
      <c r="E49">
        <v>267604.24307167996</v>
      </c>
    </row>
    <row r="50" spans="2:5" ht="15.75" x14ac:dyDescent="0.3">
      <c r="B50" s="274" t="s">
        <v>60</v>
      </c>
      <c r="D50" t="s">
        <v>72</v>
      </c>
      <c r="E50">
        <v>387905.63143999997</v>
      </c>
    </row>
    <row r="51" spans="2:5" ht="15.75" x14ac:dyDescent="0.3">
      <c r="B51" s="274" t="s">
        <v>61</v>
      </c>
      <c r="D51" t="s">
        <v>73</v>
      </c>
      <c r="E51">
        <v>478537.78856000002</v>
      </c>
    </row>
    <row r="52" spans="2:5" ht="15.75" x14ac:dyDescent="0.3">
      <c r="B52" s="274" t="s">
        <v>61</v>
      </c>
      <c r="D52" t="s">
        <v>74</v>
      </c>
      <c r="E52">
        <v>957524.21120000002</v>
      </c>
    </row>
    <row r="53" spans="2:5" ht="15.75" x14ac:dyDescent="0.3">
      <c r="B53" s="274" t="s">
        <v>62</v>
      </c>
      <c r="D53" t="s">
        <v>75</v>
      </c>
      <c r="E53">
        <v>624458.26503999997</v>
      </c>
    </row>
    <row r="54" spans="2:5" ht="15.75" x14ac:dyDescent="0.3">
      <c r="B54" s="274" t="s">
        <v>63</v>
      </c>
      <c r="D54" t="s">
        <v>76</v>
      </c>
      <c r="E54">
        <v>3760501.9075199999</v>
      </c>
    </row>
    <row r="55" spans="2:5" ht="15.75" x14ac:dyDescent="0.3">
      <c r="B55" s="274" t="s">
        <v>63</v>
      </c>
      <c r="D55" t="s">
        <v>77</v>
      </c>
      <c r="E55">
        <v>195414.46652640001</v>
      </c>
    </row>
    <row r="56" spans="2:5" ht="15.75" x14ac:dyDescent="0.3">
      <c r="B56" s="274" t="s">
        <v>64</v>
      </c>
      <c r="D56" t="s">
        <v>78</v>
      </c>
      <c r="E56">
        <v>541662.51645600004</v>
      </c>
    </row>
    <row r="57" spans="2:5" ht="15.75" x14ac:dyDescent="0.3">
      <c r="B57" s="274" t="s">
        <v>65</v>
      </c>
      <c r="D57" t="s">
        <v>79</v>
      </c>
      <c r="E57">
        <v>1063353.2660400001</v>
      </c>
    </row>
    <row r="58" spans="2:5" ht="15.75" x14ac:dyDescent="0.3">
      <c r="B58" s="274" t="s">
        <v>65</v>
      </c>
      <c r="D58" t="s">
        <v>127</v>
      </c>
      <c r="E58">
        <v>3783404.8079999997</v>
      </c>
    </row>
    <row r="59" spans="2:5" ht="15.75" x14ac:dyDescent="0.3">
      <c r="B59" s="274" t="s">
        <v>66</v>
      </c>
      <c r="D59" t="s">
        <v>81</v>
      </c>
      <c r="E59">
        <v>101763.85368000001</v>
      </c>
    </row>
    <row r="60" spans="2:5" ht="15.75" x14ac:dyDescent="0.3">
      <c r="B60" s="274" t="s">
        <v>68</v>
      </c>
      <c r="D60" t="s">
        <v>84</v>
      </c>
      <c r="E60">
        <v>1140275.3807999999</v>
      </c>
    </row>
    <row r="61" spans="2:5" ht="15.75" x14ac:dyDescent="0.3">
      <c r="B61" s="274" t="s">
        <v>69</v>
      </c>
      <c r="D61" t="s">
        <v>87</v>
      </c>
      <c r="E61">
        <v>77934.181199999992</v>
      </c>
    </row>
    <row r="62" spans="2:5" ht="15.75" x14ac:dyDescent="0.3">
      <c r="B62" s="274" t="s">
        <v>70</v>
      </c>
      <c r="D62" t="s">
        <v>88</v>
      </c>
      <c r="E62">
        <v>635966.32459999993</v>
      </c>
    </row>
    <row r="63" spans="2:5" ht="15.75" x14ac:dyDescent="0.3">
      <c r="B63" s="274" t="s">
        <v>70</v>
      </c>
      <c r="D63" t="s">
        <v>89</v>
      </c>
      <c r="E63">
        <v>826783.08728400012</v>
      </c>
    </row>
    <row r="64" spans="2:5" ht="15.75" x14ac:dyDescent="0.3">
      <c r="B64" s="274" t="s">
        <v>72</v>
      </c>
      <c r="D64" t="s">
        <v>90</v>
      </c>
      <c r="E64">
        <v>1485866.1982719998</v>
      </c>
    </row>
    <row r="65" spans="2:10" ht="15.75" x14ac:dyDescent="0.3">
      <c r="B65" s="274" t="s">
        <v>72</v>
      </c>
      <c r="D65" t="s">
        <v>91</v>
      </c>
      <c r="E65">
        <v>374119.36720000004</v>
      </c>
    </row>
    <row r="66" spans="2:10" ht="15.75" x14ac:dyDescent="0.3">
      <c r="B66" s="274" t="s">
        <v>73</v>
      </c>
      <c r="D66" t="s">
        <v>94</v>
      </c>
      <c r="E66">
        <v>472707.10204000003</v>
      </c>
    </row>
    <row r="67" spans="2:10" ht="15.75" x14ac:dyDescent="0.3">
      <c r="B67" s="274" t="s">
        <v>73</v>
      </c>
      <c r="D67" t="s">
        <v>96</v>
      </c>
      <c r="E67">
        <v>431892.29639999999</v>
      </c>
    </row>
    <row r="68" spans="2:10" ht="15.75" x14ac:dyDescent="0.3">
      <c r="B68" s="274" t="s">
        <v>74</v>
      </c>
      <c r="D68" t="s">
        <v>97</v>
      </c>
      <c r="E68">
        <v>125593.52615999999</v>
      </c>
    </row>
    <row r="69" spans="2:10" ht="15.75" x14ac:dyDescent="0.3">
      <c r="B69" s="274" t="s">
        <v>75</v>
      </c>
      <c r="D69" t="s">
        <v>98</v>
      </c>
      <c r="E69">
        <v>167295.45300000001</v>
      </c>
      <c r="J69" s="274" t="s">
        <v>361</v>
      </c>
    </row>
    <row r="70" spans="2:10" ht="15.75" x14ac:dyDescent="0.3">
      <c r="B70" s="274" t="s">
        <v>75</v>
      </c>
      <c r="D70" t="s">
        <v>99</v>
      </c>
      <c r="E70">
        <v>402738.86379999999</v>
      </c>
    </row>
    <row r="71" spans="2:10" ht="15.75" x14ac:dyDescent="0.3">
      <c r="B71" s="274" t="s">
        <v>76</v>
      </c>
      <c r="D71" t="s">
        <v>100</v>
      </c>
      <c r="E71">
        <v>360023.85011200001</v>
      </c>
    </row>
    <row r="72" spans="2:10" ht="15.75" x14ac:dyDescent="0.3">
      <c r="B72" s="274" t="s">
        <v>76</v>
      </c>
      <c r="D72" t="s">
        <v>101</v>
      </c>
      <c r="E72">
        <v>587141.87131199986</v>
      </c>
    </row>
    <row r="73" spans="2:10" ht="15.75" x14ac:dyDescent="0.3">
      <c r="B73" s="274" t="s">
        <v>77</v>
      </c>
      <c r="D73" t="s">
        <v>103</v>
      </c>
      <c r="E73">
        <v>787717.48759999999</v>
      </c>
    </row>
    <row r="74" spans="2:10" ht="15.75" x14ac:dyDescent="0.3">
      <c r="B74" s="274" t="s">
        <v>77</v>
      </c>
      <c r="D74" t="s">
        <v>104</v>
      </c>
      <c r="E74">
        <v>353563.40477999998</v>
      </c>
    </row>
    <row r="75" spans="2:10" ht="15.75" x14ac:dyDescent="0.3">
      <c r="B75" s="274" t="s">
        <v>78</v>
      </c>
      <c r="D75" t="s">
        <v>105</v>
      </c>
      <c r="E75">
        <v>805209.54715999996</v>
      </c>
    </row>
    <row r="76" spans="2:10" ht="15.75" x14ac:dyDescent="0.3">
      <c r="B76" s="274" t="s">
        <v>78</v>
      </c>
      <c r="D76" t="s">
        <v>107</v>
      </c>
      <c r="E76">
        <v>210188.86346399999</v>
      </c>
    </row>
    <row r="77" spans="2:10" ht="15.75" x14ac:dyDescent="0.3">
      <c r="B77" s="274" t="s">
        <v>79</v>
      </c>
      <c r="D77" t="s">
        <v>108</v>
      </c>
      <c r="E77">
        <v>443553.66943999997</v>
      </c>
    </row>
    <row r="78" spans="2:10" ht="15.75" x14ac:dyDescent="0.3">
      <c r="B78" s="274" t="s">
        <v>79</v>
      </c>
      <c r="D78" t="s">
        <v>109</v>
      </c>
      <c r="E78">
        <v>1712703.9884800001</v>
      </c>
    </row>
    <row r="79" spans="2:10" ht="15.75" x14ac:dyDescent="0.3">
      <c r="B79" s="274" t="s">
        <v>79</v>
      </c>
      <c r="D79" t="s">
        <v>110</v>
      </c>
      <c r="E79">
        <v>565998.08635999996</v>
      </c>
    </row>
    <row r="80" spans="2:10" ht="15.75" x14ac:dyDescent="0.3">
      <c r="B80" s="274" t="s">
        <v>361</v>
      </c>
      <c r="D80" t="s">
        <v>112</v>
      </c>
      <c r="E80">
        <v>2810031.5376000004</v>
      </c>
    </row>
    <row r="81" spans="2:5" ht="15.75" x14ac:dyDescent="0.3">
      <c r="B81" s="274" t="s">
        <v>81</v>
      </c>
      <c r="D81" t="s">
        <v>113</v>
      </c>
      <c r="E81">
        <v>208997.37983999998</v>
      </c>
    </row>
    <row r="82" spans="2:5" ht="15.75" x14ac:dyDescent="0.3">
      <c r="B82" s="274" t="s">
        <v>84</v>
      </c>
      <c r="D82" t="s">
        <v>114</v>
      </c>
      <c r="E82">
        <v>431892.29639999999</v>
      </c>
    </row>
    <row r="83" spans="2:5" ht="15.75" x14ac:dyDescent="0.3">
      <c r="B83" s="274" t="s">
        <v>87</v>
      </c>
      <c r="D83" t="s">
        <v>115</v>
      </c>
      <c r="E83">
        <v>341229.82732799998</v>
      </c>
    </row>
    <row r="84" spans="2:5" ht="15.75" x14ac:dyDescent="0.3">
      <c r="B84" s="274" t="s">
        <v>88</v>
      </c>
      <c r="D84" t="s">
        <v>116</v>
      </c>
      <c r="E84">
        <v>748068.81926399993</v>
      </c>
    </row>
    <row r="85" spans="2:5" ht="15.75" x14ac:dyDescent="0.3">
      <c r="B85" s="274" t="s">
        <v>88</v>
      </c>
      <c r="D85" t="s">
        <v>118</v>
      </c>
      <c r="E85">
        <v>77934.181199999992</v>
      </c>
    </row>
    <row r="86" spans="2:5" ht="15.75" x14ac:dyDescent="0.3">
      <c r="B86" s="274" t="s">
        <v>89</v>
      </c>
      <c r="D86" t="s">
        <v>119</v>
      </c>
      <c r="E86">
        <v>437876.29639999999</v>
      </c>
    </row>
    <row r="87" spans="2:5" ht="15.75" x14ac:dyDescent="0.3">
      <c r="B87" s="274" t="s">
        <v>89</v>
      </c>
      <c r="D87" t="s">
        <v>120</v>
      </c>
      <c r="E87">
        <v>1299575.3088000002</v>
      </c>
    </row>
    <row r="88" spans="2:5" ht="15.75" x14ac:dyDescent="0.3">
      <c r="B88" s="274" t="s">
        <v>90</v>
      </c>
      <c r="D88" t="s">
        <v>121</v>
      </c>
      <c r="E88">
        <v>570232.88040400005</v>
      </c>
    </row>
    <row r="89" spans="2:5" ht="15.75" x14ac:dyDescent="0.3">
      <c r="B89" s="274" t="s">
        <v>90</v>
      </c>
      <c r="E89">
        <f>SUM(Table7[Column2])</f>
        <v>80392047.141785115</v>
      </c>
    </row>
    <row r="90" spans="2:5" ht="15.75" x14ac:dyDescent="0.3">
      <c r="B90" s="274" t="s">
        <v>91</v>
      </c>
    </row>
    <row r="91" spans="2:5" ht="15.75" x14ac:dyDescent="0.3">
      <c r="B91" s="274" t="s">
        <v>94</v>
      </c>
    </row>
    <row r="92" spans="2:5" ht="15.75" x14ac:dyDescent="0.3">
      <c r="B92" s="274" t="s">
        <v>96</v>
      </c>
    </row>
    <row r="93" spans="2:5" ht="15.75" x14ac:dyDescent="0.3">
      <c r="B93" s="274" t="s">
        <v>97</v>
      </c>
    </row>
    <row r="94" spans="2:5" ht="15.75" x14ac:dyDescent="0.3">
      <c r="B94" s="274" t="s">
        <v>98</v>
      </c>
    </row>
    <row r="95" spans="2:5" ht="15.75" x14ac:dyDescent="0.3">
      <c r="B95" s="274" t="s">
        <v>99</v>
      </c>
    </row>
    <row r="96" spans="2:5" ht="15.75" x14ac:dyDescent="0.3">
      <c r="B96" s="274" t="s">
        <v>100</v>
      </c>
    </row>
    <row r="97" spans="2:2" ht="15.75" x14ac:dyDescent="0.3">
      <c r="B97" s="274" t="s">
        <v>101</v>
      </c>
    </row>
    <row r="98" spans="2:2" ht="15.75" x14ac:dyDescent="0.3">
      <c r="B98" s="274" t="s">
        <v>101</v>
      </c>
    </row>
    <row r="99" spans="2:2" ht="15.75" x14ac:dyDescent="0.3">
      <c r="B99" s="274" t="s">
        <v>101</v>
      </c>
    </row>
    <row r="100" spans="2:2" ht="15.75" x14ac:dyDescent="0.3">
      <c r="B100" s="274" t="s">
        <v>103</v>
      </c>
    </row>
    <row r="101" spans="2:2" ht="15.75" x14ac:dyDescent="0.3">
      <c r="B101" s="274" t="s">
        <v>103</v>
      </c>
    </row>
    <row r="102" spans="2:2" ht="15.75" x14ac:dyDescent="0.3">
      <c r="B102" s="274" t="s">
        <v>104</v>
      </c>
    </row>
    <row r="103" spans="2:2" ht="15.75" x14ac:dyDescent="0.3">
      <c r="B103" s="274" t="s">
        <v>104</v>
      </c>
    </row>
    <row r="104" spans="2:2" ht="15.75" x14ac:dyDescent="0.3">
      <c r="B104" s="274" t="s">
        <v>105</v>
      </c>
    </row>
    <row r="105" spans="2:2" ht="15.75" x14ac:dyDescent="0.3">
      <c r="B105" s="274" t="s">
        <v>107</v>
      </c>
    </row>
    <row r="106" spans="2:2" ht="15.75" x14ac:dyDescent="0.3">
      <c r="B106" s="274" t="s">
        <v>107</v>
      </c>
    </row>
    <row r="107" spans="2:2" ht="15.75" x14ac:dyDescent="0.3">
      <c r="B107" s="274" t="s">
        <v>108</v>
      </c>
    </row>
    <row r="108" spans="2:2" ht="15.75" x14ac:dyDescent="0.3">
      <c r="B108" s="274" t="s">
        <v>109</v>
      </c>
    </row>
    <row r="109" spans="2:2" ht="15.75" x14ac:dyDescent="0.3">
      <c r="B109" s="274" t="s">
        <v>109</v>
      </c>
    </row>
    <row r="110" spans="2:2" ht="15.75" x14ac:dyDescent="0.3">
      <c r="B110" s="274" t="s">
        <v>110</v>
      </c>
    </row>
    <row r="111" spans="2:2" ht="15.75" x14ac:dyDescent="0.3">
      <c r="B111" s="274" t="s">
        <v>110</v>
      </c>
    </row>
    <row r="112" spans="2:2" ht="15.75" x14ac:dyDescent="0.3">
      <c r="B112" s="274" t="s">
        <v>112</v>
      </c>
    </row>
    <row r="113" spans="2:2" ht="15.75" x14ac:dyDescent="0.3">
      <c r="B113" s="274" t="s">
        <v>113</v>
      </c>
    </row>
    <row r="114" spans="2:2" ht="15.75" x14ac:dyDescent="0.3">
      <c r="B114" s="274" t="s">
        <v>113</v>
      </c>
    </row>
    <row r="115" spans="2:2" ht="15.75" x14ac:dyDescent="0.3">
      <c r="B115" s="274" t="s">
        <v>114</v>
      </c>
    </row>
    <row r="116" spans="2:2" ht="15.75" x14ac:dyDescent="0.3">
      <c r="B116" s="274" t="s">
        <v>115</v>
      </c>
    </row>
    <row r="117" spans="2:2" ht="15.75" x14ac:dyDescent="0.3">
      <c r="B117" s="274" t="s">
        <v>115</v>
      </c>
    </row>
    <row r="118" spans="2:2" ht="15.75" x14ac:dyDescent="0.3">
      <c r="B118" s="274" t="s">
        <v>116</v>
      </c>
    </row>
    <row r="119" spans="2:2" ht="15.75" x14ac:dyDescent="0.3">
      <c r="B119" s="274" t="s">
        <v>116</v>
      </c>
    </row>
    <row r="120" spans="2:2" ht="15.75" x14ac:dyDescent="0.3">
      <c r="B120" s="274" t="s">
        <v>118</v>
      </c>
    </row>
    <row r="121" spans="2:2" ht="15.75" x14ac:dyDescent="0.3">
      <c r="B121" s="274" t="s">
        <v>119</v>
      </c>
    </row>
    <row r="122" spans="2:2" ht="15.75" x14ac:dyDescent="0.3">
      <c r="B122" s="274" t="s">
        <v>119</v>
      </c>
    </row>
    <row r="123" spans="2:2" ht="15.75" x14ac:dyDescent="0.3">
      <c r="B123" s="274" t="s">
        <v>120</v>
      </c>
    </row>
    <row r="124" spans="2:2" ht="15.75" x14ac:dyDescent="0.3">
      <c r="B124" s="274" t="s">
        <v>120</v>
      </c>
    </row>
    <row r="125" spans="2:2" ht="15.75" x14ac:dyDescent="0.3">
      <c r="B125" s="274" t="s">
        <v>121</v>
      </c>
    </row>
    <row r="126" spans="2:2" ht="15.75" x14ac:dyDescent="0.3">
      <c r="B126" s="276" t="s">
        <v>121</v>
      </c>
    </row>
  </sheetData>
  <dataConsolidate>
    <dataRefs count="1">
      <dataRef ref="O4:P126" sheet="SS&amp;R"/>
    </dataRefs>
  </dataConsolidate>
  <phoneticPr fontId="58" type="noConversion"/>
  <pageMargins left="0.7" right="0.7" top="0.75" bottom="0.75" header="0.3" footer="0.3"/>
  <drawing r:id="rId1"/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A50DF-3DEA-4E3D-9C95-22A9C3C0775B}">
  <dimension ref="B1:BB252"/>
  <sheetViews>
    <sheetView zoomScale="70" zoomScaleNormal="70" workbookViewId="0">
      <selection activeCell="AF269" sqref="AF269"/>
    </sheetView>
  </sheetViews>
  <sheetFormatPr defaultColWidth="9.140625" defaultRowHeight="16.5" outlineLevelRow="1" outlineLevelCol="1" x14ac:dyDescent="0.3"/>
  <cols>
    <col min="1" max="1" width="2.85546875" style="171" customWidth="1"/>
    <col min="2" max="2" width="67.85546875" style="166" customWidth="1"/>
    <col min="3" max="3" width="18.5703125" style="173" bestFit="1" customWidth="1"/>
    <col min="4" max="4" width="4.85546875" style="168" bestFit="1" customWidth="1"/>
    <col min="5" max="5" width="14.42578125" style="169" bestFit="1" customWidth="1"/>
    <col min="6" max="6" width="20.85546875" style="170" customWidth="1"/>
    <col min="7" max="8" width="16.28515625" style="170" hidden="1" customWidth="1" outlineLevel="1"/>
    <col min="9" max="9" width="16" style="170" hidden="1" customWidth="1" outlineLevel="1"/>
    <col min="10" max="10" width="13.85546875" style="170" hidden="1" customWidth="1" outlineLevel="1"/>
    <col min="11" max="12" width="15.7109375" style="170" hidden="1" customWidth="1" outlineLevel="1"/>
    <col min="13" max="13" width="16" style="170" hidden="1" customWidth="1" outlineLevel="1"/>
    <col min="14" max="15" width="16.28515625" style="170" hidden="1" customWidth="1" outlineLevel="1"/>
    <col min="16" max="16" width="17.28515625" style="170" bestFit="1" customWidth="1" collapsed="1"/>
    <col min="17" max="17" width="16.28515625" style="170" customWidth="1" outlineLevel="1"/>
    <col min="18" max="18" width="16" style="170" customWidth="1" outlineLevel="1"/>
    <col min="19" max="19" width="18" style="170" bestFit="1" customWidth="1"/>
    <col min="20" max="20" width="17.85546875" style="170" customWidth="1" outlineLevel="1"/>
    <col min="21" max="21" width="17.28515625" style="170" customWidth="1" outlineLevel="1"/>
    <col min="22" max="22" width="16.28515625" style="170" customWidth="1" outlineLevel="1"/>
    <col min="23" max="27" width="11.5703125" style="170" customWidth="1" outlineLevel="1"/>
    <col min="28" max="28" width="13.140625" style="170" customWidth="1" outlineLevel="1"/>
    <col min="29" max="29" width="14.140625" style="170" customWidth="1" outlineLevel="1"/>
    <col min="30" max="30" width="11.5703125" style="170" customWidth="1" outlineLevel="1"/>
    <col min="31" max="31" width="12.85546875" style="170" customWidth="1" outlineLevel="1"/>
    <col min="32" max="34" width="9.28515625" style="170" customWidth="1" outlineLevel="1"/>
    <col min="35" max="35" width="14.140625" style="170" customWidth="1" outlineLevel="1"/>
    <col min="36" max="36" width="11.5703125" style="170" customWidth="1" outlineLevel="1"/>
    <col min="37" max="37" width="12.85546875" style="170" customWidth="1" outlineLevel="1"/>
    <col min="38" max="38" width="14.140625" style="170" customWidth="1" outlineLevel="1"/>
    <col min="39" max="41" width="9.28515625" style="170" customWidth="1" outlineLevel="1"/>
    <col min="42" max="42" width="16.28515625" style="170" customWidth="1" outlineLevel="1"/>
    <col min="43" max="44" width="11.5703125" style="170" customWidth="1" outlineLevel="1"/>
    <col min="45" max="45" width="14.140625" style="170" customWidth="1" outlineLevel="1"/>
    <col min="46" max="46" width="9.28515625" style="170" customWidth="1" outlineLevel="1"/>
    <col min="47" max="48" width="16.28515625" style="170" customWidth="1" outlineLevel="1"/>
    <col min="49" max="49" width="16.5703125" style="170" bestFit="1" customWidth="1"/>
    <col min="50" max="50" width="17.85546875" style="170" bestFit="1" customWidth="1"/>
    <col min="51" max="51" width="12.28515625" style="170" customWidth="1" outlineLevel="1"/>
    <col min="52" max="52" width="10.85546875" style="170" customWidth="1" outlineLevel="1"/>
    <col min="53" max="53" width="28.42578125" style="170" bestFit="1" customWidth="1"/>
    <col min="54" max="54" width="16.7109375" style="170" customWidth="1"/>
    <col min="55" max="16384" width="9.140625" style="171"/>
  </cols>
  <sheetData>
    <row r="1" spans="2:54" x14ac:dyDescent="0.3">
      <c r="C1" s="167" t="s">
        <v>258</v>
      </c>
      <c r="F1" s="167">
        <v>60000</v>
      </c>
      <c r="P1" s="170">
        <v>70000</v>
      </c>
      <c r="Q1" s="170">
        <v>80000</v>
      </c>
    </row>
    <row r="2" spans="2:54" x14ac:dyDescent="0.3">
      <c r="B2" s="166" t="s">
        <v>259</v>
      </c>
      <c r="C2" s="172">
        <f>BA24</f>
        <v>60020367.606399998</v>
      </c>
      <c r="D2" s="172"/>
      <c r="F2" s="170">
        <f>$P$44*F1</f>
        <v>28185235.99421601</v>
      </c>
      <c r="G2" s="170">
        <f t="shared" ref="G2:Q2" si="0">$P$44*G1</f>
        <v>0</v>
      </c>
      <c r="H2" s="170">
        <f t="shared" si="0"/>
        <v>0</v>
      </c>
      <c r="I2" s="170">
        <f t="shared" si="0"/>
        <v>0</v>
      </c>
      <c r="J2" s="170">
        <f t="shared" si="0"/>
        <v>0</v>
      </c>
      <c r="K2" s="170">
        <f t="shared" si="0"/>
        <v>0</v>
      </c>
      <c r="L2" s="170">
        <f t="shared" si="0"/>
        <v>0</v>
      </c>
      <c r="M2" s="170">
        <f t="shared" si="0"/>
        <v>0</v>
      </c>
      <c r="N2" s="170">
        <f t="shared" si="0"/>
        <v>0</v>
      </c>
      <c r="O2" s="170">
        <f t="shared" si="0"/>
        <v>0</v>
      </c>
      <c r="P2" s="170">
        <f t="shared" si="0"/>
        <v>32882775.326585345</v>
      </c>
      <c r="Q2" s="170">
        <f t="shared" si="0"/>
        <v>37580314.65895468</v>
      </c>
    </row>
    <row r="3" spans="2:54" x14ac:dyDescent="0.3">
      <c r="B3" s="166" t="s">
        <v>260</v>
      </c>
      <c r="C3" s="172">
        <f>BA106</f>
        <v>160711340.98099998</v>
      </c>
      <c r="D3" s="172"/>
    </row>
    <row r="4" spans="2:54" x14ac:dyDescent="0.3">
      <c r="B4" s="166" t="s">
        <v>261</v>
      </c>
      <c r="C4" s="172">
        <f>BA200</f>
        <v>280492567.46399999</v>
      </c>
      <c r="D4" s="172"/>
    </row>
    <row r="5" spans="2:54" ht="17.25" thickBot="1" x14ac:dyDescent="0.35">
      <c r="U5" s="174" t="s">
        <v>262</v>
      </c>
      <c r="V5" s="174" t="s">
        <v>262</v>
      </c>
      <c r="W5" s="174" t="s">
        <v>262</v>
      </c>
      <c r="X5" s="174" t="s">
        <v>262</v>
      </c>
      <c r="Y5" s="174" t="s">
        <v>262</v>
      </c>
      <c r="Z5" s="174" t="s">
        <v>262</v>
      </c>
      <c r="AA5" s="174" t="s">
        <v>262</v>
      </c>
      <c r="AB5" s="174" t="s">
        <v>262</v>
      </c>
      <c r="AC5" s="174" t="s">
        <v>262</v>
      </c>
      <c r="AD5" s="174" t="s">
        <v>262</v>
      </c>
      <c r="AE5" s="174" t="s">
        <v>262</v>
      </c>
      <c r="AF5" s="175" t="s">
        <v>263</v>
      </c>
      <c r="AG5" s="175" t="s">
        <v>263</v>
      </c>
      <c r="AH5" s="175" t="s">
        <v>263</v>
      </c>
      <c r="AI5" s="174" t="s">
        <v>262</v>
      </c>
      <c r="AJ5" s="174" t="s">
        <v>262</v>
      </c>
      <c r="AK5" s="174" t="s">
        <v>262</v>
      </c>
      <c r="AL5" s="174" t="s">
        <v>262</v>
      </c>
      <c r="AM5" s="174" t="s">
        <v>262</v>
      </c>
      <c r="AN5" s="174" t="s">
        <v>262</v>
      </c>
      <c r="AO5" s="174" t="s">
        <v>262</v>
      </c>
      <c r="AP5" s="174" t="s">
        <v>262</v>
      </c>
      <c r="AQ5" s="174" t="s">
        <v>262</v>
      </c>
      <c r="AR5" s="174" t="s">
        <v>262</v>
      </c>
      <c r="AS5" s="175" t="s">
        <v>263</v>
      </c>
      <c r="AT5" s="175" t="s">
        <v>263</v>
      </c>
      <c r="AU5" s="174" t="s">
        <v>262</v>
      </c>
      <c r="AV5" s="174" t="s">
        <v>262</v>
      </c>
    </row>
    <row r="6" spans="2:54" s="168" customFormat="1" ht="210.75" customHeight="1" thickBot="1" x14ac:dyDescent="0.3">
      <c r="B6" s="176" t="s">
        <v>264</v>
      </c>
      <c r="C6" s="177"/>
      <c r="D6" s="178"/>
      <c r="E6" s="179"/>
      <c r="F6" s="180" t="s">
        <v>265</v>
      </c>
      <c r="G6" s="181" t="s">
        <v>266</v>
      </c>
      <c r="H6" s="181" t="s">
        <v>267</v>
      </c>
      <c r="I6" s="181" t="s">
        <v>268</v>
      </c>
      <c r="J6" s="181" t="s">
        <v>269</v>
      </c>
      <c r="K6" s="181" t="s">
        <v>270</v>
      </c>
      <c r="L6" s="181" t="s">
        <v>271</v>
      </c>
      <c r="M6" s="181" t="s">
        <v>272</v>
      </c>
      <c r="N6" s="181" t="s">
        <v>273</v>
      </c>
      <c r="O6" s="181" t="s">
        <v>274</v>
      </c>
      <c r="P6" s="182" t="s">
        <v>275</v>
      </c>
      <c r="Q6" s="183" t="s">
        <v>276</v>
      </c>
      <c r="R6" s="183" t="s">
        <v>277</v>
      </c>
      <c r="S6" s="184" t="s">
        <v>278</v>
      </c>
      <c r="T6" s="185" t="s">
        <v>279</v>
      </c>
      <c r="U6" s="186" t="s">
        <v>280</v>
      </c>
      <c r="V6" s="187" t="s">
        <v>281</v>
      </c>
      <c r="W6" s="187" t="s">
        <v>282</v>
      </c>
      <c r="X6" s="187" t="s">
        <v>283</v>
      </c>
      <c r="Y6" s="187" t="s">
        <v>284</v>
      </c>
      <c r="Z6" s="187" t="s">
        <v>285</v>
      </c>
      <c r="AA6" s="187" t="s">
        <v>286</v>
      </c>
      <c r="AB6" s="187" t="s">
        <v>287</v>
      </c>
      <c r="AC6" s="187" t="s">
        <v>288</v>
      </c>
      <c r="AD6" s="187" t="s">
        <v>289</v>
      </c>
      <c r="AE6" s="187" t="s">
        <v>290</v>
      </c>
      <c r="AF6" s="187" t="s">
        <v>291</v>
      </c>
      <c r="AG6" s="187" t="s">
        <v>292</v>
      </c>
      <c r="AH6" s="187" t="s">
        <v>293</v>
      </c>
      <c r="AI6" s="187" t="s">
        <v>294</v>
      </c>
      <c r="AJ6" s="187" t="s">
        <v>295</v>
      </c>
      <c r="AK6" s="187" t="s">
        <v>296</v>
      </c>
      <c r="AL6" s="187" t="s">
        <v>297</v>
      </c>
      <c r="AM6" s="188" t="s">
        <v>298</v>
      </c>
      <c r="AN6" s="187" t="s">
        <v>299</v>
      </c>
      <c r="AO6" s="187" t="s">
        <v>300</v>
      </c>
      <c r="AP6" s="187" t="s">
        <v>301</v>
      </c>
      <c r="AQ6" s="187" t="s">
        <v>302</v>
      </c>
      <c r="AR6" s="187" t="s">
        <v>303</v>
      </c>
      <c r="AS6" s="187" t="s">
        <v>304</v>
      </c>
      <c r="AT6" s="187" t="s">
        <v>305</v>
      </c>
      <c r="AU6" s="187" t="s">
        <v>306</v>
      </c>
      <c r="AV6" s="187" t="s">
        <v>307</v>
      </c>
      <c r="AW6" s="189" t="s">
        <v>308</v>
      </c>
      <c r="AX6" s="190" t="s">
        <v>309</v>
      </c>
      <c r="AY6" s="191" t="s">
        <v>310</v>
      </c>
      <c r="AZ6" s="192" t="s">
        <v>311</v>
      </c>
      <c r="BA6" s="193" t="s">
        <v>312</v>
      </c>
      <c r="BB6" s="194"/>
    </row>
    <row r="7" spans="2:54" s="197" customFormat="1" ht="24" customHeight="1" thickBot="1" x14ac:dyDescent="0.3">
      <c r="B7" s="195"/>
      <c r="C7" s="196"/>
      <c r="E7" s="198"/>
      <c r="F7" s="199"/>
      <c r="G7" s="200">
        <v>0.05</v>
      </c>
      <c r="H7" s="201">
        <v>0.03</v>
      </c>
      <c r="I7" s="201">
        <v>0.01</v>
      </c>
      <c r="J7" s="201">
        <v>8.9999999999999998E-4</v>
      </c>
      <c r="K7" s="201">
        <v>6.8687430751558217E-3</v>
      </c>
      <c r="L7" s="201">
        <v>6.8687430751558217E-3</v>
      </c>
      <c r="M7" s="201">
        <v>0.01</v>
      </c>
      <c r="N7" s="201">
        <v>0.03</v>
      </c>
      <c r="O7" s="202">
        <v>0.04</v>
      </c>
      <c r="P7" s="203"/>
      <c r="Q7" s="204">
        <v>0.05</v>
      </c>
      <c r="R7" s="205">
        <v>0.02</v>
      </c>
      <c r="S7" s="205"/>
      <c r="T7" s="205"/>
      <c r="U7" s="206">
        <v>5.5E-2</v>
      </c>
      <c r="V7" s="206">
        <v>0.02</v>
      </c>
      <c r="W7" s="207" t="s">
        <v>313</v>
      </c>
      <c r="X7" s="207" t="s">
        <v>313</v>
      </c>
      <c r="Y7" s="207" t="s">
        <v>313</v>
      </c>
      <c r="Z7" s="207" t="s">
        <v>313</v>
      </c>
      <c r="AA7" s="207" t="s">
        <v>313</v>
      </c>
      <c r="AB7" s="208">
        <v>5.0000000000000001E-4</v>
      </c>
      <c r="AC7" s="206">
        <v>2E-3</v>
      </c>
      <c r="AD7" s="207" t="s">
        <v>313</v>
      </c>
      <c r="AE7" s="207" t="s">
        <v>313</v>
      </c>
      <c r="AF7" s="206">
        <v>7.4999999999999997E-3</v>
      </c>
      <c r="AG7" s="206">
        <v>0.02</v>
      </c>
      <c r="AH7" s="206">
        <v>1.4999999999999999E-2</v>
      </c>
      <c r="AI7" s="206">
        <v>2E-3</v>
      </c>
      <c r="AJ7" s="207" t="s">
        <v>314</v>
      </c>
      <c r="AK7" s="206">
        <v>2.0000000000000001E-4</v>
      </c>
      <c r="AL7" s="206">
        <v>3.0000000000000001E-3</v>
      </c>
      <c r="AM7" s="209">
        <v>0</v>
      </c>
      <c r="AN7" s="210">
        <v>0</v>
      </c>
      <c r="AO7" s="210">
        <v>0</v>
      </c>
      <c r="AP7" s="206">
        <v>0.02</v>
      </c>
      <c r="AQ7" s="207" t="s">
        <v>314</v>
      </c>
      <c r="AR7" s="207" t="s">
        <v>314</v>
      </c>
      <c r="AS7" s="208">
        <v>2E-3</v>
      </c>
      <c r="AT7" s="210">
        <v>0</v>
      </c>
      <c r="AU7" s="210">
        <v>1.4999999999999999E-2</v>
      </c>
      <c r="AV7" s="211">
        <v>0.04</v>
      </c>
      <c r="AW7" s="194"/>
      <c r="AX7" s="194"/>
      <c r="AY7" s="194"/>
      <c r="AZ7" s="199"/>
      <c r="BA7" s="199"/>
      <c r="BB7" s="199"/>
    </row>
    <row r="8" spans="2:54" s="220" customFormat="1" ht="32.1" customHeight="1" x14ac:dyDescent="0.25">
      <c r="B8" s="212" t="s">
        <v>315</v>
      </c>
      <c r="C8" s="213">
        <v>80913</v>
      </c>
      <c r="D8" s="214" t="s">
        <v>316</v>
      </c>
      <c r="E8" s="215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7"/>
      <c r="BA8" s="218"/>
      <c r="BB8" s="219"/>
    </row>
    <row r="9" spans="2:54" ht="4.5" customHeight="1" x14ac:dyDescent="0.3">
      <c r="B9" s="221"/>
      <c r="C9" s="222"/>
      <c r="E9" s="223"/>
      <c r="BA9" s="224"/>
    </row>
    <row r="10" spans="2:54" x14ac:dyDescent="0.3">
      <c r="B10" s="225" t="s">
        <v>317</v>
      </c>
      <c r="C10" s="226"/>
      <c r="D10" s="227"/>
      <c r="E10" s="228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  <c r="AT10" s="229"/>
      <c r="AU10" s="229"/>
      <c r="AV10" s="229"/>
      <c r="AW10" s="229"/>
      <c r="AX10" s="229"/>
      <c r="AY10" s="229"/>
      <c r="BA10" s="224"/>
    </row>
    <row r="11" spans="2:54" x14ac:dyDescent="0.3">
      <c r="B11" s="221" t="s">
        <v>318</v>
      </c>
      <c r="C11" s="230">
        <v>58000</v>
      </c>
      <c r="D11" s="168" t="s">
        <v>316</v>
      </c>
      <c r="E11" s="231">
        <v>8</v>
      </c>
      <c r="F11" s="194">
        <f>E11*C11</f>
        <v>464000</v>
      </c>
      <c r="BA11" s="224"/>
    </row>
    <row r="12" spans="2:54" x14ac:dyDescent="0.3">
      <c r="B12" s="221" t="s">
        <v>319</v>
      </c>
      <c r="C12" s="230">
        <v>40000</v>
      </c>
      <c r="D12" s="168" t="s">
        <v>316</v>
      </c>
      <c r="E12" s="231">
        <v>2</v>
      </c>
      <c r="F12" s="194">
        <f>E12*C12</f>
        <v>80000</v>
      </c>
      <c r="BA12" s="224"/>
    </row>
    <row r="13" spans="2:54" ht="33" x14ac:dyDescent="0.3">
      <c r="B13" s="221" t="s">
        <v>320</v>
      </c>
      <c r="C13" s="230">
        <v>1</v>
      </c>
      <c r="D13" s="168" t="s">
        <v>150</v>
      </c>
      <c r="E13" s="232">
        <v>100000</v>
      </c>
      <c r="F13" s="194">
        <f>E13*C13</f>
        <v>100000</v>
      </c>
      <c r="BA13" s="224"/>
    </row>
    <row r="14" spans="2:54" x14ac:dyDescent="0.3">
      <c r="B14" s="221"/>
      <c r="C14" s="230"/>
      <c r="E14" s="231"/>
      <c r="F14" s="194"/>
      <c r="BA14" s="224"/>
    </row>
    <row r="15" spans="2:54" x14ac:dyDescent="0.3">
      <c r="B15" s="225" t="s">
        <v>321</v>
      </c>
      <c r="C15" s="226"/>
      <c r="D15" s="227"/>
      <c r="E15" s="233"/>
      <c r="F15" s="234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  <c r="AF15" s="229"/>
      <c r="AG15" s="229"/>
      <c r="AH15" s="229"/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  <c r="AT15" s="229"/>
      <c r="AU15" s="229"/>
      <c r="AV15" s="229"/>
      <c r="AW15" s="229"/>
      <c r="AX15" s="229"/>
      <c r="AY15" s="229"/>
      <c r="BA15" s="224"/>
    </row>
    <row r="16" spans="2:54" x14ac:dyDescent="0.3">
      <c r="B16" s="235" t="s">
        <v>322</v>
      </c>
      <c r="C16" s="230">
        <v>80913</v>
      </c>
      <c r="D16" s="168" t="s">
        <v>316</v>
      </c>
      <c r="E16" s="231"/>
      <c r="F16" s="194">
        <f t="shared" ref="F16:F19" si="1">E16*C16</f>
        <v>0</v>
      </c>
      <c r="BA16" s="224"/>
    </row>
    <row r="17" spans="2:54" x14ac:dyDescent="0.3">
      <c r="B17" s="236" t="s">
        <v>323</v>
      </c>
      <c r="C17" s="230">
        <v>60000</v>
      </c>
      <c r="D17" s="168" t="s">
        <v>316</v>
      </c>
      <c r="E17" s="232">
        <v>425</v>
      </c>
      <c r="F17" s="194">
        <f t="shared" si="1"/>
        <v>25500000</v>
      </c>
      <c r="BA17" s="224"/>
    </row>
    <row r="18" spans="2:54" x14ac:dyDescent="0.3">
      <c r="B18" s="236" t="s">
        <v>324</v>
      </c>
      <c r="C18" s="230">
        <f>C16-C17</f>
        <v>20913</v>
      </c>
      <c r="D18" s="168" t="s">
        <v>316</v>
      </c>
      <c r="E18" s="232">
        <v>400</v>
      </c>
      <c r="F18" s="194">
        <f t="shared" si="1"/>
        <v>8365200</v>
      </c>
      <c r="BA18" s="224"/>
    </row>
    <row r="19" spans="2:54" ht="30" x14ac:dyDescent="0.3">
      <c r="B19" s="235" t="s">
        <v>325</v>
      </c>
      <c r="C19" s="230">
        <v>1</v>
      </c>
      <c r="D19" s="168" t="s">
        <v>150</v>
      </c>
      <c r="E19" s="232">
        <v>3500000</v>
      </c>
      <c r="F19" s="194">
        <f t="shared" si="1"/>
        <v>3500000</v>
      </c>
      <c r="G19" s="237"/>
      <c r="H19" s="237"/>
      <c r="BA19" s="224"/>
    </row>
    <row r="20" spans="2:54" outlineLevel="1" x14ac:dyDescent="0.3">
      <c r="B20" s="221" t="s">
        <v>326</v>
      </c>
      <c r="C20" s="230">
        <v>1</v>
      </c>
      <c r="D20" s="168" t="s">
        <v>150</v>
      </c>
      <c r="E20" s="232">
        <v>3000000</v>
      </c>
      <c r="F20" s="194"/>
      <c r="BA20" s="224"/>
    </row>
    <row r="21" spans="2:54" outlineLevel="1" x14ac:dyDescent="0.3">
      <c r="B21" s="221" t="s">
        <v>327</v>
      </c>
      <c r="C21" s="230">
        <v>40000</v>
      </c>
      <c r="D21" s="168" t="s">
        <v>316</v>
      </c>
      <c r="E21" s="231">
        <v>12</v>
      </c>
      <c r="F21" s="194"/>
      <c r="BA21" s="224"/>
    </row>
    <row r="22" spans="2:54" outlineLevel="1" x14ac:dyDescent="0.3">
      <c r="B22" s="221"/>
      <c r="C22" s="230"/>
      <c r="E22" s="231"/>
      <c r="F22" s="194"/>
      <c r="BA22" s="224"/>
    </row>
    <row r="23" spans="2:54" x14ac:dyDescent="0.3">
      <c r="B23" s="221"/>
      <c r="C23" s="230"/>
      <c r="E23" s="231"/>
      <c r="F23" s="194"/>
      <c r="BA23" s="224"/>
    </row>
    <row r="24" spans="2:54" ht="26.25" thickBot="1" x14ac:dyDescent="0.4">
      <c r="B24" s="238" t="s">
        <v>328</v>
      </c>
      <c r="C24" s="239"/>
      <c r="D24" s="240"/>
      <c r="E24" s="241"/>
      <c r="F24" s="242">
        <f>SUM(F10:F23)</f>
        <v>38009200</v>
      </c>
      <c r="G24" s="243">
        <f>$F24*G$7</f>
        <v>1900460</v>
      </c>
      <c r="H24" s="243">
        <f t="shared" ref="H24:O24" si="2">$F24*H$7</f>
        <v>1140276</v>
      </c>
      <c r="I24" s="243">
        <f t="shared" si="2"/>
        <v>380092</v>
      </c>
      <c r="J24" s="243">
        <f t="shared" si="2"/>
        <v>34208.28</v>
      </c>
      <c r="K24" s="243">
        <f t="shared" si="2"/>
        <v>261075.42929221265</v>
      </c>
      <c r="L24" s="243">
        <f t="shared" si="2"/>
        <v>261075.42929221265</v>
      </c>
      <c r="M24" s="243">
        <f t="shared" si="2"/>
        <v>380092</v>
      </c>
      <c r="N24" s="243">
        <f t="shared" si="2"/>
        <v>1140276</v>
      </c>
      <c r="O24" s="243">
        <f t="shared" si="2"/>
        <v>1520368</v>
      </c>
      <c r="P24" s="244"/>
      <c r="Q24" s="243"/>
      <c r="R24" s="243"/>
      <c r="S24" s="245"/>
      <c r="T24" s="246">
        <f>F24+P24+S24</f>
        <v>38009200</v>
      </c>
      <c r="U24" s="243">
        <f>$T24*U$7</f>
        <v>2090506</v>
      </c>
      <c r="V24" s="243">
        <f>$T24*V$7</f>
        <v>760184</v>
      </c>
      <c r="W24" s="243">
        <v>5000</v>
      </c>
      <c r="X24" s="243">
        <v>2500</v>
      </c>
      <c r="Y24" s="243">
        <v>5000</v>
      </c>
      <c r="Z24" s="243">
        <v>2500</v>
      </c>
      <c r="AA24" s="243">
        <v>2500</v>
      </c>
      <c r="AB24" s="243">
        <f>$T24*AB$7</f>
        <v>19004.600000000002</v>
      </c>
      <c r="AC24" s="243">
        <f>$T24*AC$7</f>
        <v>76018.400000000009</v>
      </c>
      <c r="AD24" s="243">
        <v>9604</v>
      </c>
      <c r="AE24" s="243">
        <v>20250</v>
      </c>
      <c r="AF24" s="247">
        <v>0</v>
      </c>
      <c r="AG24" s="247">
        <v>0</v>
      </c>
      <c r="AH24" s="247">
        <v>0</v>
      </c>
      <c r="AI24" s="243">
        <f>$T24*AI$7</f>
        <v>76018.400000000009</v>
      </c>
      <c r="AJ24" s="243">
        <v>2000</v>
      </c>
      <c r="AK24" s="243">
        <f>$T24*AK$7</f>
        <v>7601.84</v>
      </c>
      <c r="AL24" s="243">
        <f>$T24*AL$7</f>
        <v>114027.6</v>
      </c>
      <c r="AM24" s="247">
        <v>0</v>
      </c>
      <c r="AN24" s="247">
        <v>0</v>
      </c>
      <c r="AO24" s="247">
        <v>0</v>
      </c>
      <c r="AP24" s="243">
        <f>$T24*AP$7</f>
        <v>760184</v>
      </c>
      <c r="AQ24" s="243">
        <v>2000</v>
      </c>
      <c r="AR24" s="243">
        <v>2000</v>
      </c>
      <c r="AS24" s="243">
        <f>$T24*AS$7</f>
        <v>76018.400000000009</v>
      </c>
      <c r="AT24" s="247">
        <v>0</v>
      </c>
      <c r="AU24" s="243">
        <f>$T24*AU$7</f>
        <v>570138</v>
      </c>
      <c r="AV24" s="243">
        <f>$T24*AV$7</f>
        <v>1520368</v>
      </c>
      <c r="AW24" s="248">
        <f>SUM(U24:AV24)</f>
        <v>6123423.2400000002</v>
      </c>
      <c r="AX24" s="249">
        <f>(F24+P24+S24+AW24)*AY24*AZ24</f>
        <v>15887744.3664</v>
      </c>
      <c r="AY24" s="250">
        <v>3</v>
      </c>
      <c r="AZ24" s="251">
        <v>0.12</v>
      </c>
      <c r="BA24" s="252">
        <f>F24+P24+S24+AW24+AX24</f>
        <v>60020367.606399998</v>
      </c>
    </row>
    <row r="25" spans="2:54" ht="17.25" thickBot="1" x14ac:dyDescent="0.35">
      <c r="B25" s="253"/>
      <c r="C25" s="230"/>
      <c r="E25" s="231"/>
      <c r="F25" s="194">
        <f>F24/$C$16</f>
        <v>469.75393323693351</v>
      </c>
      <c r="P25" s="170">
        <f>P24/$C$16</f>
        <v>0</v>
      </c>
      <c r="S25" s="170">
        <f>S24/$C$16</f>
        <v>0</v>
      </c>
      <c r="AW25" s="170">
        <f>AW24/$C$16</f>
        <v>75.679102739979982</v>
      </c>
      <c r="AX25" s="170">
        <f>AX24/$C$16</f>
        <v>196.35589295168884</v>
      </c>
      <c r="BA25" s="170">
        <f>BA24/$C$16</f>
        <v>741.78892892860233</v>
      </c>
    </row>
    <row r="26" spans="2:54" s="220" customFormat="1" x14ac:dyDescent="0.25">
      <c r="B26" s="212" t="s">
        <v>329</v>
      </c>
      <c r="C26" s="213">
        <v>103474</v>
      </c>
      <c r="D26" s="214" t="s">
        <v>316</v>
      </c>
      <c r="E26" s="215"/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7"/>
      <c r="BA26" s="218"/>
      <c r="BB26" s="219"/>
    </row>
    <row r="27" spans="2:54" ht="4.5" customHeight="1" x14ac:dyDescent="0.3">
      <c r="B27" s="221"/>
      <c r="C27" s="222"/>
      <c r="E27" s="223"/>
      <c r="BA27" s="224"/>
    </row>
    <row r="28" spans="2:54" x14ac:dyDescent="0.3">
      <c r="B28" s="225" t="s">
        <v>317</v>
      </c>
      <c r="C28" s="226"/>
      <c r="D28" s="227"/>
      <c r="E28" s="228"/>
      <c r="F28" s="229"/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  <c r="AF28" s="229"/>
      <c r="AG28" s="229"/>
      <c r="AH28" s="229"/>
      <c r="AI28" s="229"/>
      <c r="AJ28" s="229"/>
      <c r="AK28" s="229"/>
      <c r="AL28" s="229"/>
      <c r="AM28" s="229"/>
      <c r="AN28" s="229"/>
      <c r="AO28" s="229"/>
      <c r="AP28" s="229"/>
      <c r="AQ28" s="229"/>
      <c r="AR28" s="229"/>
      <c r="AS28" s="229"/>
      <c r="AT28" s="229"/>
      <c r="AU28" s="229"/>
      <c r="AV28" s="229"/>
      <c r="AW28" s="229"/>
      <c r="AX28" s="229"/>
      <c r="AY28" s="229"/>
      <c r="BA28" s="224"/>
    </row>
    <row r="29" spans="2:54" x14ac:dyDescent="0.3">
      <c r="B29" s="221" t="s">
        <v>318</v>
      </c>
      <c r="C29" s="230">
        <v>80000</v>
      </c>
      <c r="D29" s="168" t="s">
        <v>316</v>
      </c>
      <c r="E29" s="231">
        <v>8</v>
      </c>
      <c r="F29" s="194">
        <f>E29*C29</f>
        <v>640000</v>
      </c>
      <c r="BA29" s="224"/>
    </row>
    <row r="30" spans="2:54" x14ac:dyDescent="0.3">
      <c r="B30" s="221" t="s">
        <v>319</v>
      </c>
      <c r="C30" s="230">
        <v>40000</v>
      </c>
      <c r="D30" s="168" t="s">
        <v>316</v>
      </c>
      <c r="E30" s="231">
        <v>2</v>
      </c>
      <c r="F30" s="194">
        <f>E30*C30</f>
        <v>80000</v>
      </c>
      <c r="BA30" s="224"/>
    </row>
    <row r="31" spans="2:54" ht="33" x14ac:dyDescent="0.3">
      <c r="B31" s="221" t="s">
        <v>320</v>
      </c>
      <c r="C31" s="230">
        <v>1</v>
      </c>
      <c r="D31" s="168" t="s">
        <v>150</v>
      </c>
      <c r="E31" s="232">
        <v>100000</v>
      </c>
      <c r="F31" s="194">
        <f>E31*C31</f>
        <v>100000</v>
      </c>
      <c r="BA31" s="224"/>
    </row>
    <row r="32" spans="2:54" x14ac:dyDescent="0.3">
      <c r="B32" s="221"/>
      <c r="C32" s="230"/>
      <c r="E32" s="231"/>
      <c r="F32" s="194"/>
      <c r="BA32" s="224"/>
    </row>
    <row r="33" spans="2:54" x14ac:dyDescent="0.3">
      <c r="B33" s="225" t="s">
        <v>321</v>
      </c>
      <c r="C33" s="226"/>
      <c r="D33" s="227"/>
      <c r="E33" s="233"/>
      <c r="F33" s="234"/>
      <c r="G33" s="229"/>
      <c r="H33" s="229"/>
      <c r="I33" s="229"/>
      <c r="J33" s="229"/>
      <c r="K33" s="229"/>
      <c r="L33" s="229"/>
      <c r="M33" s="229"/>
      <c r="N33" s="229"/>
      <c r="O33" s="229"/>
      <c r="P33" s="229"/>
      <c r="Q33" s="229"/>
      <c r="R33" s="229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  <c r="AF33" s="229"/>
      <c r="AG33" s="229"/>
      <c r="AH33" s="229"/>
      <c r="AI33" s="229"/>
      <c r="AJ33" s="229"/>
      <c r="AK33" s="229"/>
      <c r="AL33" s="229"/>
      <c r="AM33" s="229"/>
      <c r="AN33" s="229"/>
      <c r="AO33" s="229"/>
      <c r="AP33" s="229"/>
      <c r="AQ33" s="229"/>
      <c r="AR33" s="229"/>
      <c r="AS33" s="229"/>
      <c r="AT33" s="229"/>
      <c r="AU33" s="229"/>
      <c r="AV33" s="229"/>
      <c r="AW33" s="229"/>
      <c r="AX33" s="229"/>
      <c r="AY33" s="229"/>
      <c r="BA33" s="224"/>
    </row>
    <row r="34" spans="2:54" x14ac:dyDescent="0.3">
      <c r="B34" s="235" t="s">
        <v>322</v>
      </c>
      <c r="C34" s="230">
        <v>103464</v>
      </c>
      <c r="D34" s="168" t="s">
        <v>316</v>
      </c>
      <c r="E34" s="231"/>
      <c r="F34" s="194">
        <f t="shared" ref="F34:F37" si="3">E34*C34</f>
        <v>0</v>
      </c>
      <c r="BA34" s="224"/>
    </row>
    <row r="35" spans="2:54" x14ac:dyDescent="0.3">
      <c r="B35" s="236" t="s">
        <v>323</v>
      </c>
      <c r="C35" s="230">
        <v>60000</v>
      </c>
      <c r="D35" s="168" t="s">
        <v>316</v>
      </c>
      <c r="E35" s="232">
        <v>425</v>
      </c>
      <c r="F35" s="194">
        <f t="shared" si="3"/>
        <v>25500000</v>
      </c>
      <c r="BA35" s="224"/>
    </row>
    <row r="36" spans="2:54" x14ac:dyDescent="0.3">
      <c r="B36" s="236" t="s">
        <v>324</v>
      </c>
      <c r="C36" s="230">
        <f>C34-C35</f>
        <v>43464</v>
      </c>
      <c r="D36" s="168" t="s">
        <v>316</v>
      </c>
      <c r="E36" s="232">
        <v>400</v>
      </c>
      <c r="F36" s="194">
        <f t="shared" si="3"/>
        <v>17385600</v>
      </c>
      <c r="BA36" s="224"/>
    </row>
    <row r="37" spans="2:54" ht="30" x14ac:dyDescent="0.3">
      <c r="B37" s="235" t="s">
        <v>325</v>
      </c>
      <c r="C37" s="230">
        <v>1</v>
      </c>
      <c r="D37" s="168" t="s">
        <v>150</v>
      </c>
      <c r="E37" s="232">
        <v>3500000</v>
      </c>
      <c r="F37" s="194">
        <f t="shared" si="3"/>
        <v>3500000</v>
      </c>
      <c r="G37" s="237"/>
      <c r="H37" s="237"/>
      <c r="BA37" s="224"/>
    </row>
    <row r="38" spans="2:54" outlineLevel="1" x14ac:dyDescent="0.3">
      <c r="B38" s="221" t="s">
        <v>326</v>
      </c>
      <c r="C38" s="230">
        <v>1</v>
      </c>
      <c r="D38" s="168" t="s">
        <v>150</v>
      </c>
      <c r="E38" s="232">
        <v>3000000</v>
      </c>
      <c r="F38" s="194"/>
      <c r="BA38" s="224"/>
    </row>
    <row r="39" spans="2:54" outlineLevel="1" x14ac:dyDescent="0.3">
      <c r="B39" s="221" t="s">
        <v>327</v>
      </c>
      <c r="C39" s="230">
        <v>40000</v>
      </c>
      <c r="D39" s="168" t="s">
        <v>316</v>
      </c>
      <c r="E39" s="231">
        <v>12</v>
      </c>
      <c r="F39" s="194"/>
      <c r="BA39" s="224"/>
    </row>
    <row r="40" spans="2:54" outlineLevel="1" x14ac:dyDescent="0.3">
      <c r="B40" s="221"/>
      <c r="C40" s="230"/>
      <c r="E40" s="231"/>
      <c r="F40" s="194"/>
      <c r="BA40" s="224"/>
    </row>
    <row r="41" spans="2:54" x14ac:dyDescent="0.3">
      <c r="B41" s="221"/>
      <c r="C41" s="230"/>
      <c r="E41" s="231"/>
      <c r="F41" s="194"/>
      <c r="BA41" s="224"/>
    </row>
    <row r="42" spans="2:54" ht="26.25" thickBot="1" x14ac:dyDescent="0.4">
      <c r="B42" s="238" t="s">
        <v>328</v>
      </c>
      <c r="C42" s="239"/>
      <c r="D42" s="240"/>
      <c r="E42" s="241"/>
      <c r="F42" s="242">
        <f>SUM(F28:F41)</f>
        <v>47205600</v>
      </c>
      <c r="G42" s="243">
        <f>$F42*G$7</f>
        <v>2360280</v>
      </c>
      <c r="H42" s="243">
        <f t="shared" ref="H42:O42" si="4">$F42*H$7</f>
        <v>1416168</v>
      </c>
      <c r="I42" s="243">
        <f t="shared" si="4"/>
        <v>472056</v>
      </c>
      <c r="J42" s="243">
        <f t="shared" si="4"/>
        <v>42485.04</v>
      </c>
      <c r="K42" s="243">
        <f t="shared" si="4"/>
        <v>324243.13810857566</v>
      </c>
      <c r="L42" s="243">
        <f t="shared" si="4"/>
        <v>324243.13810857566</v>
      </c>
      <c r="M42" s="243">
        <f t="shared" si="4"/>
        <v>472056</v>
      </c>
      <c r="N42" s="243">
        <f t="shared" si="4"/>
        <v>1416168</v>
      </c>
      <c r="O42" s="243">
        <f t="shared" si="4"/>
        <v>1888224</v>
      </c>
      <c r="P42" s="244"/>
      <c r="Q42" s="243"/>
      <c r="R42" s="243"/>
      <c r="S42" s="245"/>
      <c r="T42" s="246">
        <f>F42+P42+S42</f>
        <v>47205600</v>
      </c>
      <c r="U42" s="243">
        <f>$T42*U$7</f>
        <v>2596308</v>
      </c>
      <c r="V42" s="243">
        <f>$T42*V$7</f>
        <v>944112</v>
      </c>
      <c r="W42" s="243">
        <v>5000</v>
      </c>
      <c r="X42" s="243">
        <v>2500</v>
      </c>
      <c r="Y42" s="243">
        <v>5000</v>
      </c>
      <c r="Z42" s="243">
        <v>2500</v>
      </c>
      <c r="AA42" s="243">
        <v>2500</v>
      </c>
      <c r="AB42" s="243">
        <f>$T42*AB$7</f>
        <v>23602.799999999999</v>
      </c>
      <c r="AC42" s="243">
        <f>$T42*AC$7</f>
        <v>94411.199999999997</v>
      </c>
      <c r="AD42" s="243">
        <v>9604</v>
      </c>
      <c r="AE42" s="243">
        <v>20250</v>
      </c>
      <c r="AF42" s="247">
        <v>0</v>
      </c>
      <c r="AG42" s="247">
        <v>0</v>
      </c>
      <c r="AH42" s="247">
        <v>0</v>
      </c>
      <c r="AI42" s="243">
        <f>$T42*AI$7</f>
        <v>94411.199999999997</v>
      </c>
      <c r="AJ42" s="243">
        <v>2000</v>
      </c>
      <c r="AK42" s="243">
        <f>$T42*AK$7</f>
        <v>9441.1200000000008</v>
      </c>
      <c r="AL42" s="243">
        <f>$T42*AL$7</f>
        <v>141616.80000000002</v>
      </c>
      <c r="AM42" s="247">
        <v>0</v>
      </c>
      <c r="AN42" s="247">
        <v>0</v>
      </c>
      <c r="AO42" s="247">
        <v>0</v>
      </c>
      <c r="AP42" s="243">
        <f>$T42*AP$7</f>
        <v>944112</v>
      </c>
      <c r="AQ42" s="243">
        <v>2000</v>
      </c>
      <c r="AR42" s="243">
        <v>2000</v>
      </c>
      <c r="AS42" s="243">
        <f>$T42*AS$7</f>
        <v>94411.199999999997</v>
      </c>
      <c r="AT42" s="247">
        <v>0</v>
      </c>
      <c r="AU42" s="243">
        <f>$T42*AU$7</f>
        <v>708084</v>
      </c>
      <c r="AV42" s="243">
        <f>$T42*AV$7</f>
        <v>1888224</v>
      </c>
      <c r="AW42" s="248">
        <f>SUM(U42:AV42)</f>
        <v>7592088.3200000003</v>
      </c>
      <c r="AX42" s="249">
        <f>(F42+P42+S42+AW42)*AY42*AZ42</f>
        <v>19727167.795200001</v>
      </c>
      <c r="AY42" s="250">
        <v>3</v>
      </c>
      <c r="AZ42" s="251">
        <v>0.12</v>
      </c>
      <c r="BA42" s="252">
        <f>F42+P42+S42+AW42+AX42</f>
        <v>74524856.115199998</v>
      </c>
    </row>
    <row r="43" spans="2:54" x14ac:dyDescent="0.3">
      <c r="B43" s="253"/>
      <c r="C43" s="230"/>
      <c r="E43" s="231"/>
      <c r="F43" s="194">
        <f>F42/$C$16</f>
        <v>583.41181268770163</v>
      </c>
      <c r="P43" s="170">
        <f>P42/$C$16</f>
        <v>0</v>
      </c>
      <c r="S43" s="170">
        <f>S42/$C$16</f>
        <v>0</v>
      </c>
      <c r="AW43" s="170">
        <f>AW42/$C$16</f>
        <v>93.830266088267649</v>
      </c>
      <c r="AX43" s="170">
        <f>AX42/$C$16</f>
        <v>243.80714835934896</v>
      </c>
      <c r="BA43" s="170">
        <f>BA42/$C$16</f>
        <v>921.04922713531812</v>
      </c>
    </row>
    <row r="44" spans="2:54" ht="17.25" thickBot="1" x14ac:dyDescent="0.35">
      <c r="B44" s="253"/>
      <c r="C44" s="230"/>
      <c r="E44" s="231"/>
      <c r="F44" s="194"/>
      <c r="P44" s="170">
        <f>P25+F25</f>
        <v>469.75393323693351</v>
      </c>
    </row>
    <row r="45" spans="2:54" s="220" customFormat="1" ht="28.5" x14ac:dyDescent="0.25">
      <c r="B45" s="212" t="s">
        <v>330</v>
      </c>
      <c r="C45" s="213">
        <v>60326</v>
      </c>
      <c r="D45" s="214" t="s">
        <v>316</v>
      </c>
      <c r="E45" s="215"/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7"/>
      <c r="BA45" s="218"/>
      <c r="BB45" s="219"/>
    </row>
    <row r="46" spans="2:54" ht="4.5" customHeight="1" x14ac:dyDescent="0.3">
      <c r="B46" s="221"/>
      <c r="C46" s="222"/>
      <c r="E46" s="223"/>
      <c r="BA46" s="224"/>
    </row>
    <row r="47" spans="2:54" x14ac:dyDescent="0.3">
      <c r="B47" s="225" t="s">
        <v>317</v>
      </c>
      <c r="C47" s="226"/>
      <c r="D47" s="227"/>
      <c r="E47" s="228"/>
      <c r="F47" s="229"/>
      <c r="G47" s="229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  <c r="AF47" s="229"/>
      <c r="AG47" s="229"/>
      <c r="AH47" s="229"/>
      <c r="AI47" s="229"/>
      <c r="AJ47" s="229"/>
      <c r="AK47" s="229"/>
      <c r="AL47" s="229"/>
      <c r="AM47" s="229"/>
      <c r="AN47" s="229"/>
      <c r="AO47" s="229"/>
      <c r="AP47" s="229"/>
      <c r="AQ47" s="229"/>
      <c r="AR47" s="229"/>
      <c r="AS47" s="229"/>
      <c r="AT47" s="229"/>
      <c r="AU47" s="229"/>
      <c r="AV47" s="229"/>
      <c r="AW47" s="229"/>
      <c r="AX47" s="229"/>
      <c r="AY47" s="229"/>
      <c r="BA47" s="224"/>
    </row>
    <row r="48" spans="2:54" x14ac:dyDescent="0.3">
      <c r="B48" s="221" t="s">
        <v>318</v>
      </c>
      <c r="C48" s="230">
        <v>45000</v>
      </c>
      <c r="D48" s="168" t="s">
        <v>316</v>
      </c>
      <c r="E48" s="231">
        <v>8</v>
      </c>
      <c r="F48" s="194">
        <f>E48*C48</f>
        <v>360000</v>
      </c>
      <c r="BA48" s="224"/>
    </row>
    <row r="49" spans="2:53" x14ac:dyDescent="0.3">
      <c r="B49" s="221" t="s">
        <v>319</v>
      </c>
      <c r="C49" s="230">
        <f>C45-C48</f>
        <v>15326</v>
      </c>
      <c r="D49" s="168" t="s">
        <v>316</v>
      </c>
      <c r="E49" s="231">
        <v>2</v>
      </c>
      <c r="F49" s="194">
        <f>E49*C49</f>
        <v>30652</v>
      </c>
      <c r="BA49" s="224"/>
    </row>
    <row r="50" spans="2:53" ht="33" x14ac:dyDescent="0.3">
      <c r="B50" s="221" t="s">
        <v>320</v>
      </c>
      <c r="C50" s="230">
        <v>1</v>
      </c>
      <c r="D50" s="168" t="s">
        <v>150</v>
      </c>
      <c r="E50" s="232">
        <v>100000</v>
      </c>
      <c r="F50" s="194">
        <f>E50*C50</f>
        <v>100000</v>
      </c>
      <c r="BA50" s="224"/>
    </row>
    <row r="51" spans="2:53" x14ac:dyDescent="0.3">
      <c r="B51" s="221"/>
      <c r="C51" s="230"/>
      <c r="E51" s="231"/>
      <c r="F51" s="194"/>
      <c r="BA51" s="224"/>
    </row>
    <row r="52" spans="2:53" x14ac:dyDescent="0.3">
      <c r="B52" s="225" t="s">
        <v>321</v>
      </c>
      <c r="C52" s="226"/>
      <c r="D52" s="227"/>
      <c r="E52" s="233"/>
      <c r="F52" s="234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  <c r="AF52" s="229"/>
      <c r="AG52" s="229"/>
      <c r="AH52" s="229"/>
      <c r="AI52" s="229"/>
      <c r="AJ52" s="229"/>
      <c r="AK52" s="229"/>
      <c r="AL52" s="229"/>
      <c r="AM52" s="229"/>
      <c r="AN52" s="229"/>
      <c r="AO52" s="229"/>
      <c r="AP52" s="229"/>
      <c r="AQ52" s="229"/>
      <c r="AR52" s="229"/>
      <c r="AS52" s="229"/>
      <c r="AT52" s="229"/>
      <c r="AU52" s="229"/>
      <c r="AV52" s="229"/>
      <c r="AW52" s="229"/>
      <c r="AX52" s="229"/>
      <c r="AY52" s="229"/>
      <c r="BA52" s="224"/>
    </row>
    <row r="53" spans="2:53" x14ac:dyDescent="0.3">
      <c r="B53" s="235" t="s">
        <v>322</v>
      </c>
      <c r="C53" s="230">
        <f>C45</f>
        <v>60326</v>
      </c>
      <c r="D53" s="168" t="s">
        <v>316</v>
      </c>
      <c r="E53" s="231"/>
      <c r="F53" s="194">
        <f t="shared" ref="F53:F56" si="5">E53*C53</f>
        <v>0</v>
      </c>
      <c r="BA53" s="224"/>
    </row>
    <row r="54" spans="2:53" x14ac:dyDescent="0.3">
      <c r="B54" s="236" t="s">
        <v>323</v>
      </c>
      <c r="C54" s="230">
        <v>40500</v>
      </c>
      <c r="D54" s="168" t="s">
        <v>316</v>
      </c>
      <c r="E54" s="232">
        <v>425</v>
      </c>
      <c r="F54" s="194">
        <f t="shared" si="5"/>
        <v>17212500</v>
      </c>
      <c r="BA54" s="224"/>
    </row>
    <row r="55" spans="2:53" x14ac:dyDescent="0.3">
      <c r="B55" s="236" t="s">
        <v>324</v>
      </c>
      <c r="C55" s="230">
        <f>C53-C54</f>
        <v>19826</v>
      </c>
      <c r="D55" s="168" t="s">
        <v>316</v>
      </c>
      <c r="E55" s="232">
        <v>400</v>
      </c>
      <c r="F55" s="194">
        <f t="shared" si="5"/>
        <v>7930400</v>
      </c>
      <c r="BA55" s="224"/>
    </row>
    <row r="56" spans="2:53" ht="30" x14ac:dyDescent="0.3">
      <c r="B56" s="235" t="s">
        <v>325</v>
      </c>
      <c r="C56" s="230">
        <v>1</v>
      </c>
      <c r="D56" s="168" t="s">
        <v>150</v>
      </c>
      <c r="E56" s="232">
        <v>3500000</v>
      </c>
      <c r="F56" s="194">
        <f t="shared" si="5"/>
        <v>3500000</v>
      </c>
      <c r="G56" s="237"/>
      <c r="H56" s="237"/>
      <c r="BA56" s="224"/>
    </row>
    <row r="57" spans="2:53" outlineLevel="1" x14ac:dyDescent="0.3">
      <c r="B57" s="221" t="s">
        <v>326</v>
      </c>
      <c r="C57" s="230">
        <v>1</v>
      </c>
      <c r="D57" s="168" t="s">
        <v>150</v>
      </c>
      <c r="E57" s="232">
        <v>3000000</v>
      </c>
      <c r="F57" s="194"/>
      <c r="BA57" s="224"/>
    </row>
    <row r="58" spans="2:53" outlineLevel="1" x14ac:dyDescent="0.3">
      <c r="B58" s="221" t="s">
        <v>327</v>
      </c>
      <c r="C58" s="230">
        <v>40000</v>
      </c>
      <c r="D58" s="168" t="s">
        <v>316</v>
      </c>
      <c r="E58" s="231">
        <v>12</v>
      </c>
      <c r="F58" s="194"/>
      <c r="BA58" s="224"/>
    </row>
    <row r="59" spans="2:53" outlineLevel="1" x14ac:dyDescent="0.3">
      <c r="B59" s="221"/>
      <c r="C59" s="230"/>
      <c r="E59" s="231"/>
      <c r="F59" s="194"/>
      <c r="BA59" s="224"/>
    </row>
    <row r="60" spans="2:53" x14ac:dyDescent="0.3">
      <c r="B60" s="221"/>
      <c r="C60" s="230"/>
      <c r="E60" s="231"/>
      <c r="F60" s="194"/>
      <c r="BA60" s="224"/>
    </row>
    <row r="61" spans="2:53" ht="26.25" thickBot="1" x14ac:dyDescent="0.4">
      <c r="B61" s="238" t="s">
        <v>328</v>
      </c>
      <c r="C61" s="239"/>
      <c r="D61" s="240"/>
      <c r="E61" s="241"/>
      <c r="F61" s="242">
        <f>SUM(F47:F60)</f>
        <v>29133552</v>
      </c>
      <c r="G61" s="243">
        <f>$F61*G$7</f>
        <v>1456677.6</v>
      </c>
      <c r="H61" s="243">
        <f t="shared" ref="H61:O61" si="6">$F61*H$7</f>
        <v>874006.55999999994</v>
      </c>
      <c r="I61" s="243">
        <f t="shared" si="6"/>
        <v>291335.52</v>
      </c>
      <c r="J61" s="243">
        <f t="shared" si="6"/>
        <v>26220.196799999998</v>
      </c>
      <c r="K61" s="243">
        <f t="shared" si="6"/>
        <v>200110.88355469203</v>
      </c>
      <c r="L61" s="243">
        <f t="shared" si="6"/>
        <v>200110.88355469203</v>
      </c>
      <c r="M61" s="243">
        <f t="shared" si="6"/>
        <v>291335.52</v>
      </c>
      <c r="N61" s="243">
        <f t="shared" si="6"/>
        <v>874006.55999999994</v>
      </c>
      <c r="O61" s="243">
        <f t="shared" si="6"/>
        <v>1165342.08</v>
      </c>
      <c r="P61" s="244"/>
      <c r="Q61" s="243"/>
      <c r="R61" s="243"/>
      <c r="S61" s="245"/>
      <c r="T61" s="246">
        <f>F61+P61+S61</f>
        <v>29133552</v>
      </c>
      <c r="U61" s="243">
        <f>$T61*U$7</f>
        <v>1602345.36</v>
      </c>
      <c r="V61" s="243">
        <f>$T61*V$7</f>
        <v>582671.04</v>
      </c>
      <c r="W61" s="243">
        <v>5000</v>
      </c>
      <c r="X61" s="243">
        <v>2500</v>
      </c>
      <c r="Y61" s="243">
        <v>5000</v>
      </c>
      <c r="Z61" s="243">
        <v>2500</v>
      </c>
      <c r="AA61" s="243">
        <v>2500</v>
      </c>
      <c r="AB61" s="243">
        <f>$T61*AB$7</f>
        <v>14566.776</v>
      </c>
      <c r="AC61" s="243">
        <f>$T61*AC$7</f>
        <v>58267.103999999999</v>
      </c>
      <c r="AD61" s="243">
        <v>9604</v>
      </c>
      <c r="AE61" s="243">
        <v>20250</v>
      </c>
      <c r="AF61" s="247">
        <v>0</v>
      </c>
      <c r="AG61" s="247">
        <v>0</v>
      </c>
      <c r="AH61" s="247">
        <v>0</v>
      </c>
      <c r="AI61" s="243">
        <f>$T61*AI$7</f>
        <v>58267.103999999999</v>
      </c>
      <c r="AJ61" s="243">
        <v>2000</v>
      </c>
      <c r="AK61" s="243">
        <f>$T61*AK$7</f>
        <v>5826.7103999999999</v>
      </c>
      <c r="AL61" s="243">
        <f>$T61*AL$7</f>
        <v>87400.656000000003</v>
      </c>
      <c r="AM61" s="247">
        <v>0</v>
      </c>
      <c r="AN61" s="247">
        <v>0</v>
      </c>
      <c r="AO61" s="247">
        <v>0</v>
      </c>
      <c r="AP61" s="243">
        <f>$T61*AP$7</f>
        <v>582671.04</v>
      </c>
      <c r="AQ61" s="243">
        <v>2000</v>
      </c>
      <c r="AR61" s="243">
        <v>2000</v>
      </c>
      <c r="AS61" s="243">
        <f>$T61*AS$7</f>
        <v>58267.103999999999</v>
      </c>
      <c r="AT61" s="247">
        <v>0</v>
      </c>
      <c r="AU61" s="243">
        <f>$T61*AU$7</f>
        <v>437003.27999999997</v>
      </c>
      <c r="AV61" s="243">
        <f>$T61*AV$7</f>
        <v>1165342.08</v>
      </c>
      <c r="AW61" s="248">
        <f>SUM(U61:AV61)</f>
        <v>4705982.2544</v>
      </c>
      <c r="AX61" s="249">
        <f>(F61+P61+S61+AW61)*AY61*AZ61</f>
        <v>12182232.331583999</v>
      </c>
      <c r="AY61" s="250">
        <v>3</v>
      </c>
      <c r="AZ61" s="251">
        <v>0.12</v>
      </c>
      <c r="BA61" s="252">
        <f>F61+P61+S61+AW61+AX61</f>
        <v>46021766.585983999</v>
      </c>
    </row>
    <row r="62" spans="2:53" x14ac:dyDescent="0.3">
      <c r="B62" s="253"/>
      <c r="C62" s="230"/>
      <c r="E62" s="231"/>
      <c r="F62" s="194">
        <f>F61/$C$16</f>
        <v>360.06021282117831</v>
      </c>
      <c r="P62" s="170">
        <f>P61/$C$16</f>
        <v>0</v>
      </c>
      <c r="S62" s="170">
        <f>S61/$C$16</f>
        <v>0</v>
      </c>
      <c r="AW62" s="170">
        <f>AW61/$C$16</f>
        <v>58.161015589583876</v>
      </c>
      <c r="AX62" s="170">
        <f>AX61/$C$16</f>
        <v>150.55964222787438</v>
      </c>
      <c r="BA62" s="170">
        <f>BA61/$C$16</f>
        <v>568.78087063863654</v>
      </c>
    </row>
    <row r="63" spans="2:53" x14ac:dyDescent="0.3">
      <c r="B63" s="253"/>
      <c r="C63" s="230"/>
      <c r="E63" s="231"/>
      <c r="F63" s="194"/>
      <c r="P63" s="170">
        <f>P62+F62</f>
        <v>360.06021282117831</v>
      </c>
    </row>
    <row r="64" spans="2:53" x14ac:dyDescent="0.3">
      <c r="B64" s="253"/>
      <c r="C64" s="230"/>
      <c r="E64" s="231"/>
      <c r="F64" s="194"/>
    </row>
    <row r="65" spans="2:54" s="197" customFormat="1" ht="24" customHeight="1" thickBot="1" x14ac:dyDescent="0.3">
      <c r="B65" s="195"/>
      <c r="C65" s="196"/>
      <c r="E65" s="198"/>
      <c r="F65" s="199"/>
      <c r="G65" s="200">
        <v>0.05</v>
      </c>
      <c r="H65" s="201">
        <v>0.03</v>
      </c>
      <c r="I65" s="201">
        <v>0.01</v>
      </c>
      <c r="J65" s="201">
        <v>8.9999999999999998E-4</v>
      </c>
      <c r="K65" s="201">
        <v>6.8687430751558217E-3</v>
      </c>
      <c r="L65" s="201">
        <v>6.8687430751558217E-3</v>
      </c>
      <c r="M65" s="201">
        <v>0.01</v>
      </c>
      <c r="N65" s="201">
        <v>0.03</v>
      </c>
      <c r="O65" s="202">
        <v>0.04</v>
      </c>
      <c r="P65" s="203"/>
      <c r="Q65" s="204">
        <v>0.05</v>
      </c>
      <c r="R65" s="205">
        <v>0.02</v>
      </c>
      <c r="S65" s="205"/>
      <c r="T65" s="205"/>
      <c r="U65" s="206">
        <v>5.5E-2</v>
      </c>
      <c r="V65" s="206">
        <v>0.02</v>
      </c>
      <c r="W65" s="207" t="s">
        <v>313</v>
      </c>
      <c r="X65" s="207" t="s">
        <v>313</v>
      </c>
      <c r="Y65" s="207" t="s">
        <v>313</v>
      </c>
      <c r="Z65" s="207" t="s">
        <v>313</v>
      </c>
      <c r="AA65" s="207" t="s">
        <v>313</v>
      </c>
      <c r="AB65" s="208">
        <v>5.0000000000000001E-4</v>
      </c>
      <c r="AC65" s="206">
        <v>2E-3</v>
      </c>
      <c r="AD65" s="207" t="s">
        <v>313</v>
      </c>
      <c r="AE65" s="207" t="s">
        <v>313</v>
      </c>
      <c r="AF65" s="206">
        <v>7.4999999999999997E-3</v>
      </c>
      <c r="AG65" s="206">
        <v>0.02</v>
      </c>
      <c r="AH65" s="206">
        <v>1.4999999999999999E-2</v>
      </c>
      <c r="AI65" s="206">
        <v>2E-3</v>
      </c>
      <c r="AJ65" s="207" t="s">
        <v>314</v>
      </c>
      <c r="AK65" s="206">
        <v>2.0000000000000001E-4</v>
      </c>
      <c r="AL65" s="206">
        <v>3.0000000000000001E-3</v>
      </c>
      <c r="AM65" s="209">
        <v>0</v>
      </c>
      <c r="AN65" s="210">
        <v>0</v>
      </c>
      <c r="AO65" s="210">
        <v>0</v>
      </c>
      <c r="AP65" s="206">
        <v>0.02</v>
      </c>
      <c r="AQ65" s="207" t="s">
        <v>314</v>
      </c>
      <c r="AR65" s="207" t="s">
        <v>314</v>
      </c>
      <c r="AS65" s="208">
        <v>2E-3</v>
      </c>
      <c r="AT65" s="210">
        <v>0</v>
      </c>
      <c r="AU65" s="210">
        <v>1.4999999999999999E-2</v>
      </c>
      <c r="AV65" s="211">
        <v>0.04</v>
      </c>
      <c r="AW65" s="194"/>
      <c r="AX65" s="194"/>
      <c r="AY65" s="194"/>
      <c r="AZ65" s="199"/>
      <c r="BA65" s="199"/>
      <c r="BB65" s="199"/>
    </row>
    <row r="66" spans="2:54" s="220" customFormat="1" x14ac:dyDescent="0.25">
      <c r="B66" s="212" t="s">
        <v>331</v>
      </c>
      <c r="C66" s="213">
        <v>80913</v>
      </c>
      <c r="D66" s="214" t="s">
        <v>316</v>
      </c>
      <c r="E66" s="215"/>
      <c r="F66" s="216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7"/>
      <c r="BA66" s="218"/>
      <c r="BB66" s="219"/>
    </row>
    <row r="67" spans="2:54" ht="4.5" customHeight="1" x14ac:dyDescent="0.3">
      <c r="B67" s="221"/>
      <c r="C67" s="222"/>
      <c r="E67" s="223"/>
      <c r="BA67" s="224"/>
    </row>
    <row r="68" spans="2:54" x14ac:dyDescent="0.3">
      <c r="B68" s="225" t="s">
        <v>317</v>
      </c>
      <c r="C68" s="226"/>
      <c r="D68" s="227"/>
      <c r="E68" s="228"/>
      <c r="F68" s="229"/>
      <c r="G68" s="229"/>
      <c r="H68" s="229"/>
      <c r="I68" s="229"/>
      <c r="J68" s="229"/>
      <c r="K68" s="229"/>
      <c r="L68" s="229"/>
      <c r="M68" s="229"/>
      <c r="N68" s="229"/>
      <c r="O68" s="229"/>
      <c r="P68" s="229"/>
      <c r="Q68" s="229"/>
      <c r="R68" s="229"/>
      <c r="S68" s="229"/>
      <c r="T68" s="229"/>
      <c r="U68" s="229"/>
      <c r="V68" s="229"/>
      <c r="W68" s="229"/>
      <c r="X68" s="229"/>
      <c r="Y68" s="229"/>
      <c r="Z68" s="229"/>
      <c r="AA68" s="229"/>
      <c r="AB68" s="229"/>
      <c r="AC68" s="229"/>
      <c r="AD68" s="229"/>
      <c r="AE68" s="229"/>
      <c r="AF68" s="229"/>
      <c r="AG68" s="229"/>
      <c r="AH68" s="229"/>
      <c r="AI68" s="229"/>
      <c r="AJ68" s="229"/>
      <c r="AK68" s="229"/>
      <c r="AL68" s="229"/>
      <c r="AM68" s="229"/>
      <c r="AN68" s="229"/>
      <c r="AO68" s="229"/>
      <c r="AP68" s="229"/>
      <c r="AQ68" s="229"/>
      <c r="AR68" s="229"/>
      <c r="AS68" s="229"/>
      <c r="AT68" s="229"/>
      <c r="AU68" s="229"/>
      <c r="AV68" s="229"/>
      <c r="AW68" s="229"/>
      <c r="AX68" s="229"/>
      <c r="AY68" s="229"/>
      <c r="BA68" s="224"/>
    </row>
    <row r="69" spans="2:54" x14ac:dyDescent="0.3">
      <c r="B69" s="221" t="s">
        <v>318</v>
      </c>
      <c r="C69" s="230">
        <v>58000</v>
      </c>
      <c r="D69" s="168" t="s">
        <v>316</v>
      </c>
      <c r="E69" s="231">
        <v>8</v>
      </c>
      <c r="F69" s="194">
        <f>E69*C69</f>
        <v>464000</v>
      </c>
      <c r="BA69" s="224"/>
    </row>
    <row r="70" spans="2:54" x14ac:dyDescent="0.3">
      <c r="B70" s="221" t="s">
        <v>319</v>
      </c>
      <c r="C70" s="230">
        <v>40000</v>
      </c>
      <c r="D70" s="168" t="s">
        <v>316</v>
      </c>
      <c r="E70" s="231">
        <v>2</v>
      </c>
      <c r="F70" s="194">
        <f>E70*C70</f>
        <v>80000</v>
      </c>
      <c r="BA70" s="224"/>
    </row>
    <row r="71" spans="2:54" ht="33" x14ac:dyDescent="0.3">
      <c r="B71" s="221" t="s">
        <v>320</v>
      </c>
      <c r="C71" s="230">
        <v>1</v>
      </c>
      <c r="D71" s="168" t="s">
        <v>150</v>
      </c>
      <c r="E71" s="232">
        <v>100000</v>
      </c>
      <c r="F71" s="194">
        <f>E71*C71</f>
        <v>100000</v>
      </c>
      <c r="BA71" s="224"/>
    </row>
    <row r="72" spans="2:54" x14ac:dyDescent="0.3">
      <c r="B72" s="221"/>
      <c r="C72" s="230"/>
      <c r="E72" s="231"/>
      <c r="F72" s="194"/>
      <c r="BA72" s="224"/>
    </row>
    <row r="73" spans="2:54" x14ac:dyDescent="0.3">
      <c r="B73" s="225" t="s">
        <v>332</v>
      </c>
      <c r="C73" s="226"/>
      <c r="D73" s="227"/>
      <c r="E73" s="233"/>
      <c r="F73" s="234"/>
      <c r="G73" s="229"/>
      <c r="H73" s="229"/>
      <c r="I73" s="229"/>
      <c r="J73" s="229"/>
      <c r="K73" s="229"/>
      <c r="L73" s="229"/>
      <c r="M73" s="229"/>
      <c r="N73" s="229"/>
      <c r="O73" s="229"/>
      <c r="P73" s="229"/>
      <c r="Q73" s="229"/>
      <c r="R73" s="229"/>
      <c r="S73" s="229"/>
      <c r="T73" s="229"/>
      <c r="U73" s="229"/>
      <c r="V73" s="229"/>
      <c r="W73" s="229"/>
      <c r="X73" s="229"/>
      <c r="Y73" s="229"/>
      <c r="Z73" s="229"/>
      <c r="AA73" s="229"/>
      <c r="AB73" s="229"/>
      <c r="AC73" s="229"/>
      <c r="AD73" s="229"/>
      <c r="AE73" s="229"/>
      <c r="AF73" s="229"/>
      <c r="AG73" s="229"/>
      <c r="AH73" s="229"/>
      <c r="AI73" s="229"/>
      <c r="AJ73" s="229"/>
      <c r="AK73" s="229"/>
      <c r="AL73" s="229"/>
      <c r="AM73" s="229"/>
      <c r="AN73" s="229"/>
      <c r="AO73" s="229"/>
      <c r="AP73" s="229"/>
      <c r="AQ73" s="229"/>
      <c r="AR73" s="229"/>
      <c r="AS73" s="229"/>
      <c r="AT73" s="229"/>
      <c r="AU73" s="229"/>
      <c r="AV73" s="229"/>
      <c r="AW73" s="229"/>
      <c r="AX73" s="229"/>
      <c r="AY73" s="229"/>
      <c r="BA73" s="224"/>
    </row>
    <row r="74" spans="2:54" x14ac:dyDescent="0.3">
      <c r="B74" s="235" t="s">
        <v>332</v>
      </c>
      <c r="C74" s="230">
        <v>80913</v>
      </c>
      <c r="D74" s="168" t="s">
        <v>316</v>
      </c>
      <c r="E74" s="231"/>
      <c r="F74" s="194">
        <f t="shared" ref="F74:F77" si="7">E74*C74</f>
        <v>0</v>
      </c>
      <c r="BA74" s="224"/>
    </row>
    <row r="75" spans="2:54" x14ac:dyDescent="0.3">
      <c r="B75" s="236" t="s">
        <v>333</v>
      </c>
      <c r="C75" s="230">
        <v>21000</v>
      </c>
      <c r="D75" s="168" t="s">
        <v>316</v>
      </c>
      <c r="E75" s="232">
        <v>425</v>
      </c>
      <c r="F75" s="194">
        <f t="shared" si="7"/>
        <v>8925000</v>
      </c>
      <c r="BA75" s="224"/>
    </row>
    <row r="76" spans="2:54" x14ac:dyDescent="0.3">
      <c r="B76" s="236" t="s">
        <v>334</v>
      </c>
      <c r="C76" s="230">
        <f>C74-C75</f>
        <v>59913</v>
      </c>
      <c r="D76" s="168" t="s">
        <v>316</v>
      </c>
      <c r="E76" s="232">
        <v>250</v>
      </c>
      <c r="F76" s="194">
        <f t="shared" si="7"/>
        <v>14978250</v>
      </c>
      <c r="BA76" s="224"/>
    </row>
    <row r="77" spans="2:54" ht="30" x14ac:dyDescent="0.3">
      <c r="B77" s="235" t="s">
        <v>325</v>
      </c>
      <c r="C77" s="230">
        <v>1</v>
      </c>
      <c r="D77" s="168" t="s">
        <v>150</v>
      </c>
      <c r="E77" s="232"/>
      <c r="F77" s="194">
        <f t="shared" si="7"/>
        <v>0</v>
      </c>
      <c r="G77" s="237"/>
      <c r="H77" s="237"/>
      <c r="BA77" s="224"/>
    </row>
    <row r="78" spans="2:54" outlineLevel="1" x14ac:dyDescent="0.3">
      <c r="B78" s="221" t="s">
        <v>326</v>
      </c>
      <c r="C78" s="230">
        <v>1</v>
      </c>
      <c r="D78" s="168" t="s">
        <v>150</v>
      </c>
      <c r="E78" s="232">
        <v>3000000</v>
      </c>
      <c r="F78" s="194"/>
      <c r="BA78" s="224"/>
    </row>
    <row r="79" spans="2:54" outlineLevel="1" x14ac:dyDescent="0.3">
      <c r="B79" s="221" t="s">
        <v>327</v>
      </c>
      <c r="C79" s="230">
        <v>40000</v>
      </c>
      <c r="D79" s="168" t="s">
        <v>316</v>
      </c>
      <c r="E79" s="231">
        <v>12</v>
      </c>
      <c r="F79" s="194"/>
      <c r="BA79" s="224"/>
    </row>
    <row r="80" spans="2:54" outlineLevel="1" x14ac:dyDescent="0.3">
      <c r="B80" s="221"/>
      <c r="C80" s="230"/>
      <c r="E80" s="231"/>
      <c r="F80" s="194"/>
      <c r="BA80" s="224"/>
    </row>
    <row r="81" spans="2:54" x14ac:dyDescent="0.3">
      <c r="B81" s="221"/>
      <c r="C81" s="230"/>
      <c r="E81" s="231"/>
      <c r="F81" s="194"/>
      <c r="BA81" s="224"/>
    </row>
    <row r="82" spans="2:54" ht="26.25" thickBot="1" x14ac:dyDescent="0.4">
      <c r="B82" s="238" t="s">
        <v>328</v>
      </c>
      <c r="C82" s="239"/>
      <c r="D82" s="240"/>
      <c r="E82" s="241"/>
      <c r="F82" s="242">
        <f>SUM(F68:F81)</f>
        <v>24547250</v>
      </c>
      <c r="G82" s="243">
        <f>$F82*G$7</f>
        <v>1227362.5</v>
      </c>
      <c r="H82" s="243">
        <f t="shared" ref="H82:O82" si="8">$F82*H$7</f>
        <v>736417.5</v>
      </c>
      <c r="I82" s="243">
        <f t="shared" si="8"/>
        <v>245472.5</v>
      </c>
      <c r="J82" s="243">
        <f t="shared" si="8"/>
        <v>22092.524999999998</v>
      </c>
      <c r="K82" s="243">
        <f t="shared" si="8"/>
        <v>168608.75345161874</v>
      </c>
      <c r="L82" s="243">
        <f t="shared" si="8"/>
        <v>168608.75345161874</v>
      </c>
      <c r="M82" s="243">
        <f t="shared" si="8"/>
        <v>245472.5</v>
      </c>
      <c r="N82" s="243">
        <f t="shared" si="8"/>
        <v>736417.5</v>
      </c>
      <c r="O82" s="243">
        <f t="shared" si="8"/>
        <v>981890</v>
      </c>
      <c r="P82" s="244"/>
      <c r="Q82" s="243"/>
      <c r="R82" s="243"/>
      <c r="S82" s="245"/>
      <c r="T82" s="246">
        <f>F82+P82+S82</f>
        <v>24547250</v>
      </c>
      <c r="U82" s="243">
        <f>$T82*U$7</f>
        <v>1350098.75</v>
      </c>
      <c r="V82" s="243">
        <f>$T82*V$7</f>
        <v>490945</v>
      </c>
      <c r="W82" s="243">
        <v>5000</v>
      </c>
      <c r="X82" s="243">
        <v>2500</v>
      </c>
      <c r="Y82" s="243">
        <v>5000</v>
      </c>
      <c r="Z82" s="243">
        <v>2500</v>
      </c>
      <c r="AA82" s="243">
        <v>2500</v>
      </c>
      <c r="AB82" s="243">
        <f>$T82*AB$7</f>
        <v>12273.625</v>
      </c>
      <c r="AC82" s="243">
        <f>$T82*AC$7</f>
        <v>49094.5</v>
      </c>
      <c r="AD82" s="243">
        <v>9604</v>
      </c>
      <c r="AE82" s="243">
        <v>20250</v>
      </c>
      <c r="AF82" s="247">
        <v>0</v>
      </c>
      <c r="AG82" s="247">
        <v>0</v>
      </c>
      <c r="AH82" s="247">
        <v>0</v>
      </c>
      <c r="AI82" s="243">
        <f>$T82*AI$7</f>
        <v>49094.5</v>
      </c>
      <c r="AJ82" s="243">
        <v>2000</v>
      </c>
      <c r="AK82" s="243">
        <f>$T82*AK$7</f>
        <v>4909.45</v>
      </c>
      <c r="AL82" s="243">
        <f>$T82*AL$7</f>
        <v>73641.75</v>
      </c>
      <c r="AM82" s="247">
        <v>0</v>
      </c>
      <c r="AN82" s="247">
        <v>0</v>
      </c>
      <c r="AO82" s="247">
        <v>0</v>
      </c>
      <c r="AP82" s="243">
        <f>$T82*AP$7</f>
        <v>490945</v>
      </c>
      <c r="AQ82" s="243">
        <v>2000</v>
      </c>
      <c r="AR82" s="243">
        <v>2000</v>
      </c>
      <c r="AS82" s="243">
        <f>$T82*AS$7</f>
        <v>49094.5</v>
      </c>
      <c r="AT82" s="247">
        <v>0</v>
      </c>
      <c r="AU82" s="243">
        <f>$T82*AU$7</f>
        <v>368208.75</v>
      </c>
      <c r="AV82" s="243">
        <f>$T82*AV$7</f>
        <v>981890</v>
      </c>
      <c r="AW82" s="248">
        <f>SUM(U82:AV82)</f>
        <v>3973549.8250000002</v>
      </c>
      <c r="AX82" s="249">
        <f>(F82+P82+S82+AW82)*AY82*AZ82</f>
        <v>10267487.936999999</v>
      </c>
      <c r="AY82" s="250">
        <v>3</v>
      </c>
      <c r="AZ82" s="251">
        <v>0.12</v>
      </c>
      <c r="BA82" s="252">
        <f>F82+P82+S82+AW82+AX82</f>
        <v>38788287.761999995</v>
      </c>
    </row>
    <row r="83" spans="2:54" x14ac:dyDescent="0.3">
      <c r="B83" s="253"/>
      <c r="C83" s="230"/>
      <c r="E83" s="231"/>
      <c r="F83" s="194">
        <f>F82/$C$16</f>
        <v>303.37831992386884</v>
      </c>
      <c r="P83" s="170">
        <f>P82/$C$16</f>
        <v>0</v>
      </c>
      <c r="S83" s="170">
        <f>S82/$C$16</f>
        <v>0</v>
      </c>
      <c r="AW83" s="170">
        <f>AW82/$C$16</f>
        <v>49.108917293883557</v>
      </c>
      <c r="AX83" s="170">
        <f>AX82/$C$16</f>
        <v>126.89540539839085</v>
      </c>
      <c r="BA83" s="170">
        <f>BA82/$C$16</f>
        <v>479.38264261614319</v>
      </c>
    </row>
    <row r="84" spans="2:54" ht="17.25" thickBot="1" x14ac:dyDescent="0.35">
      <c r="B84" s="253"/>
      <c r="C84" s="230"/>
      <c r="E84" s="231"/>
      <c r="F84" s="194"/>
      <c r="P84" s="170">
        <f>P83+F83</f>
        <v>303.37831992386884</v>
      </c>
    </row>
    <row r="85" spans="2:54" ht="31.5" customHeight="1" x14ac:dyDescent="0.3">
      <c r="B85" s="254" t="s">
        <v>335</v>
      </c>
      <c r="C85" s="255">
        <v>224914</v>
      </c>
      <c r="D85" s="256"/>
      <c r="E85" s="257"/>
      <c r="F85" s="258"/>
      <c r="G85" s="259"/>
      <c r="H85" s="259"/>
      <c r="I85" s="259"/>
      <c r="J85" s="259"/>
      <c r="K85" s="259"/>
      <c r="L85" s="259"/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59"/>
      <c r="Z85" s="259"/>
      <c r="AA85" s="259"/>
      <c r="AB85" s="259"/>
      <c r="AC85" s="259"/>
      <c r="AD85" s="259"/>
      <c r="AE85" s="259"/>
      <c r="AF85" s="259"/>
      <c r="AG85" s="259"/>
      <c r="AH85" s="259"/>
      <c r="AI85" s="259"/>
      <c r="AJ85" s="259"/>
      <c r="AK85" s="259"/>
      <c r="AL85" s="259"/>
      <c r="AM85" s="259"/>
      <c r="AN85" s="259"/>
      <c r="AO85" s="259"/>
      <c r="AP85" s="259"/>
      <c r="AQ85" s="259"/>
      <c r="AR85" s="259"/>
      <c r="AS85" s="259"/>
      <c r="AT85" s="259"/>
      <c r="AU85" s="259"/>
      <c r="AV85" s="259"/>
      <c r="AW85" s="259"/>
      <c r="AX85" s="259"/>
      <c r="AY85" s="259"/>
      <c r="AZ85" s="260"/>
      <c r="BA85" s="261"/>
    </row>
    <row r="86" spans="2:54" ht="5.25" customHeight="1" x14ac:dyDescent="0.3">
      <c r="B86" s="221"/>
      <c r="C86" s="230"/>
      <c r="E86" s="231"/>
      <c r="F86" s="194"/>
      <c r="BA86" s="224"/>
    </row>
    <row r="87" spans="2:54" x14ac:dyDescent="0.3">
      <c r="B87" s="225" t="s">
        <v>317</v>
      </c>
      <c r="C87" s="226"/>
      <c r="D87" s="227"/>
      <c r="E87" s="233"/>
      <c r="F87" s="234"/>
      <c r="G87" s="229"/>
      <c r="H87" s="229"/>
      <c r="I87" s="229"/>
      <c r="J87" s="229"/>
      <c r="K87" s="229"/>
      <c r="L87" s="229"/>
      <c r="M87" s="229"/>
      <c r="N87" s="229"/>
      <c r="O87" s="229"/>
      <c r="P87" s="229"/>
      <c r="Q87" s="229"/>
      <c r="R87" s="229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  <c r="AF87" s="229"/>
      <c r="AG87" s="229"/>
      <c r="AH87" s="229"/>
      <c r="AI87" s="229"/>
      <c r="AJ87" s="229"/>
      <c r="AK87" s="229"/>
      <c r="AL87" s="229"/>
      <c r="AM87" s="229"/>
      <c r="AN87" s="229"/>
      <c r="AO87" s="229"/>
      <c r="AP87" s="229"/>
      <c r="AQ87" s="229"/>
      <c r="AR87" s="229"/>
      <c r="AS87" s="229"/>
      <c r="AT87" s="229"/>
      <c r="AU87" s="229"/>
      <c r="AV87" s="229"/>
      <c r="AW87" s="229"/>
      <c r="AX87" s="229"/>
      <c r="AY87" s="229"/>
      <c r="BA87" s="224"/>
    </row>
    <row r="88" spans="2:54" x14ac:dyDescent="0.3">
      <c r="B88" s="221" t="s">
        <v>318</v>
      </c>
      <c r="C88" s="230">
        <v>131325</v>
      </c>
      <c r="D88" s="168" t="s">
        <v>316</v>
      </c>
      <c r="E88" s="231">
        <v>8</v>
      </c>
      <c r="F88" s="194">
        <f t="shared" ref="F88:F91" si="9">E88*C88</f>
        <v>1050600</v>
      </c>
      <c r="BA88" s="224"/>
      <c r="BB88" s="262"/>
    </row>
    <row r="89" spans="2:54" x14ac:dyDescent="0.3">
      <c r="B89" s="221" t="s">
        <v>319</v>
      </c>
      <c r="C89" s="230">
        <v>63000</v>
      </c>
      <c r="D89" s="168" t="s">
        <v>316</v>
      </c>
      <c r="E89" s="231">
        <v>2</v>
      </c>
      <c r="F89" s="194">
        <f t="shared" si="9"/>
        <v>126000</v>
      </c>
      <c r="BA89" s="224"/>
      <c r="BB89" s="262"/>
    </row>
    <row r="90" spans="2:54" ht="33" x14ac:dyDescent="0.3">
      <c r="B90" s="221" t="s">
        <v>336</v>
      </c>
      <c r="C90" s="230">
        <v>15000</v>
      </c>
      <c r="D90" s="168" t="s">
        <v>316</v>
      </c>
      <c r="E90" s="231">
        <v>1.5</v>
      </c>
      <c r="F90" s="194">
        <f t="shared" si="9"/>
        <v>22500</v>
      </c>
      <c r="BA90" s="224"/>
      <c r="BB90" s="262"/>
    </row>
    <row r="91" spans="2:54" x14ac:dyDescent="0.3">
      <c r="B91" s="221" t="s">
        <v>337</v>
      </c>
      <c r="C91" s="230">
        <v>1</v>
      </c>
      <c r="D91" s="168" t="s">
        <v>150</v>
      </c>
      <c r="E91" s="232">
        <v>75000</v>
      </c>
      <c r="F91" s="194">
        <f t="shared" si="9"/>
        <v>75000</v>
      </c>
      <c r="BA91" s="224"/>
      <c r="BB91" s="262"/>
    </row>
    <row r="92" spans="2:54" ht="33" x14ac:dyDescent="0.3">
      <c r="B92" s="221" t="s">
        <v>338</v>
      </c>
      <c r="C92" s="230">
        <v>1</v>
      </c>
      <c r="D92" s="168" t="s">
        <v>150</v>
      </c>
      <c r="E92" s="232">
        <v>300000</v>
      </c>
      <c r="F92" s="194">
        <f>E92*C92</f>
        <v>300000</v>
      </c>
      <c r="BA92" s="224"/>
      <c r="BB92" s="262"/>
    </row>
    <row r="93" spans="2:54" x14ac:dyDescent="0.3">
      <c r="B93" s="221"/>
      <c r="C93" s="230"/>
      <c r="E93" s="231"/>
      <c r="F93" s="194"/>
      <c r="BA93" s="224"/>
      <c r="BB93" s="262"/>
    </row>
    <row r="94" spans="2:54" x14ac:dyDescent="0.3">
      <c r="B94" s="225" t="s">
        <v>321</v>
      </c>
      <c r="C94" s="226"/>
      <c r="D94" s="227"/>
      <c r="E94" s="233"/>
      <c r="F94" s="234"/>
      <c r="G94" s="229"/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  <c r="AF94" s="229"/>
      <c r="AG94" s="229"/>
      <c r="AH94" s="229"/>
      <c r="AI94" s="229"/>
      <c r="AJ94" s="229"/>
      <c r="AK94" s="229"/>
      <c r="AL94" s="229"/>
      <c r="AM94" s="229"/>
      <c r="AN94" s="229"/>
      <c r="AO94" s="229"/>
      <c r="AP94" s="229"/>
      <c r="AQ94" s="229"/>
      <c r="AR94" s="229"/>
      <c r="AS94" s="229"/>
      <c r="AT94" s="229"/>
      <c r="AU94" s="229"/>
      <c r="AV94" s="229"/>
      <c r="AW94" s="229"/>
      <c r="AX94" s="229"/>
      <c r="AY94" s="229"/>
      <c r="BA94" s="224"/>
    </row>
    <row r="95" spans="2:54" x14ac:dyDescent="0.3">
      <c r="B95" s="221" t="s">
        <v>339</v>
      </c>
      <c r="C95" s="230">
        <v>224914</v>
      </c>
      <c r="D95" s="168" t="s">
        <v>316</v>
      </c>
      <c r="E95" s="231"/>
      <c r="F95" s="194">
        <f t="shared" ref="F95:F101" si="10">E95*C95</f>
        <v>0</v>
      </c>
      <c r="BA95" s="224"/>
    </row>
    <row r="96" spans="2:54" x14ac:dyDescent="0.3">
      <c r="B96" s="236" t="s">
        <v>323</v>
      </c>
      <c r="C96" s="230">
        <f>C95*0.5</f>
        <v>112457</v>
      </c>
      <c r="D96" s="168" t="s">
        <v>316</v>
      </c>
      <c r="E96" s="232">
        <v>425</v>
      </c>
      <c r="F96" s="194">
        <f t="shared" si="10"/>
        <v>47794225</v>
      </c>
      <c r="BA96" s="224"/>
    </row>
    <row r="97" spans="2:54" x14ac:dyDescent="0.3">
      <c r="B97" s="236" t="s">
        <v>324</v>
      </c>
      <c r="C97" s="230">
        <f>C95*0.25</f>
        <v>56228.5</v>
      </c>
      <c r="D97" s="168" t="s">
        <v>316</v>
      </c>
      <c r="E97" s="232">
        <v>400</v>
      </c>
      <c r="F97" s="194">
        <f t="shared" si="10"/>
        <v>22491400</v>
      </c>
      <c r="BA97" s="224"/>
    </row>
    <row r="98" spans="2:54" x14ac:dyDescent="0.3">
      <c r="B98" s="236" t="s">
        <v>340</v>
      </c>
      <c r="C98" s="230">
        <f>C95*0.25</f>
        <v>56228.5</v>
      </c>
      <c r="D98" s="168" t="s">
        <v>316</v>
      </c>
      <c r="E98" s="232">
        <v>400</v>
      </c>
      <c r="F98" s="194">
        <f t="shared" si="10"/>
        <v>22491400</v>
      </c>
      <c r="BA98" s="224"/>
    </row>
    <row r="99" spans="2:54" x14ac:dyDescent="0.3">
      <c r="B99" s="263" t="s">
        <v>341</v>
      </c>
      <c r="C99" s="230">
        <v>1</v>
      </c>
      <c r="D99" s="168" t="s">
        <v>150</v>
      </c>
      <c r="E99" s="232">
        <v>100000</v>
      </c>
      <c r="F99" s="264" t="s">
        <v>342</v>
      </c>
      <c r="BA99" s="224"/>
    </row>
    <row r="100" spans="2:54" x14ac:dyDescent="0.3">
      <c r="B100" s="265" t="s">
        <v>343</v>
      </c>
      <c r="C100" s="230">
        <v>1</v>
      </c>
      <c r="D100" s="168" t="s">
        <v>150</v>
      </c>
      <c r="E100" s="232">
        <v>1000000</v>
      </c>
      <c r="F100" s="264" t="s">
        <v>342</v>
      </c>
      <c r="BA100" s="224"/>
    </row>
    <row r="101" spans="2:54" ht="30" x14ac:dyDescent="0.3">
      <c r="B101" s="235" t="s">
        <v>344</v>
      </c>
      <c r="C101" s="230">
        <v>1</v>
      </c>
      <c r="D101" s="168" t="s">
        <v>150</v>
      </c>
      <c r="E101" s="232">
        <v>7500000</v>
      </c>
      <c r="F101" s="194">
        <f t="shared" si="10"/>
        <v>7500000</v>
      </c>
      <c r="BA101" s="224"/>
    </row>
    <row r="102" spans="2:54" outlineLevel="1" x14ac:dyDescent="0.3">
      <c r="B102" s="221" t="s">
        <v>326</v>
      </c>
      <c r="C102" s="230">
        <v>1</v>
      </c>
      <c r="D102" s="168" t="s">
        <v>150</v>
      </c>
      <c r="E102" s="232">
        <v>6500000</v>
      </c>
      <c r="F102" s="194"/>
      <c r="BA102" s="224"/>
    </row>
    <row r="103" spans="2:54" outlineLevel="1" x14ac:dyDescent="0.3">
      <c r="B103" s="221" t="s">
        <v>345</v>
      </c>
      <c r="C103" s="230">
        <v>65000</v>
      </c>
      <c r="D103" s="168" t="s">
        <v>316</v>
      </c>
      <c r="E103" s="231">
        <v>12</v>
      </c>
      <c r="F103" s="194"/>
      <c r="BA103" s="224"/>
    </row>
    <row r="104" spans="2:54" outlineLevel="1" x14ac:dyDescent="0.3">
      <c r="B104" s="221"/>
      <c r="C104" s="230"/>
      <c r="E104" s="231"/>
      <c r="F104" s="194"/>
      <c r="BA104" s="224"/>
    </row>
    <row r="105" spans="2:54" x14ac:dyDescent="0.3">
      <c r="B105" s="221"/>
      <c r="C105" s="230"/>
      <c r="E105" s="231"/>
      <c r="F105" s="194"/>
      <c r="BA105" s="224"/>
    </row>
    <row r="106" spans="2:54" ht="26.25" thickBot="1" x14ac:dyDescent="0.4">
      <c r="B106" s="238" t="s">
        <v>328</v>
      </c>
      <c r="C106" s="239"/>
      <c r="D106" s="240"/>
      <c r="E106" s="241"/>
      <c r="F106" s="242">
        <f>SUM(F88:F105)</f>
        <v>101851125</v>
      </c>
      <c r="G106" s="243">
        <f>$F106*G$7</f>
        <v>5092556.25</v>
      </c>
      <c r="H106" s="243">
        <f t="shared" ref="H106:O106" si="11">$F106*H$7</f>
        <v>3055533.75</v>
      </c>
      <c r="I106" s="243">
        <f t="shared" si="11"/>
        <v>1018511.25</v>
      </c>
      <c r="J106" s="243">
        <f t="shared" si="11"/>
        <v>91666.012499999997</v>
      </c>
      <c r="K106" s="243">
        <f t="shared" si="11"/>
        <v>699589.20954058005</v>
      </c>
      <c r="L106" s="243">
        <f t="shared" si="11"/>
        <v>699589.20954058005</v>
      </c>
      <c r="M106" s="243">
        <f t="shared" si="11"/>
        <v>1018511.25</v>
      </c>
      <c r="N106" s="243">
        <f t="shared" si="11"/>
        <v>3055533.75</v>
      </c>
      <c r="O106" s="243">
        <f t="shared" si="11"/>
        <v>4074045</v>
      </c>
      <c r="P106" s="244"/>
      <c r="Q106" s="243"/>
      <c r="R106" s="243"/>
      <c r="S106" s="245"/>
      <c r="T106" s="246">
        <f>F106+P106+S106</f>
        <v>101851125</v>
      </c>
      <c r="U106" s="243">
        <f>$T106*U$7</f>
        <v>5601811.875</v>
      </c>
      <c r="V106" s="243">
        <f>$T106*V$7</f>
        <v>2037022.5</v>
      </c>
      <c r="W106" s="243">
        <v>5000</v>
      </c>
      <c r="X106" s="243">
        <v>2500</v>
      </c>
      <c r="Y106" s="243">
        <v>5000</v>
      </c>
      <c r="Z106" s="243">
        <v>2500</v>
      </c>
      <c r="AA106" s="243">
        <v>2500</v>
      </c>
      <c r="AB106" s="243">
        <f>$T106*AB$7</f>
        <v>50925.5625</v>
      </c>
      <c r="AC106" s="243">
        <f>$T106*AC$7</f>
        <v>203702.25</v>
      </c>
      <c r="AD106" s="243">
        <v>9604</v>
      </c>
      <c r="AE106" s="243">
        <v>20250</v>
      </c>
      <c r="AF106" s="247">
        <v>0</v>
      </c>
      <c r="AG106" s="247">
        <v>0</v>
      </c>
      <c r="AH106" s="247">
        <v>0</v>
      </c>
      <c r="AI106" s="243">
        <f>$T106*AI$7</f>
        <v>203702.25</v>
      </c>
      <c r="AJ106" s="243">
        <v>2000</v>
      </c>
      <c r="AK106" s="243">
        <f>$T106*AK$7</f>
        <v>20370.225000000002</v>
      </c>
      <c r="AL106" s="243">
        <f>$T106*AL$7</f>
        <v>305553.375</v>
      </c>
      <c r="AM106" s="247">
        <v>0</v>
      </c>
      <c r="AN106" s="247">
        <v>0</v>
      </c>
      <c r="AO106" s="247">
        <v>0</v>
      </c>
      <c r="AP106" s="243">
        <f>$T106*AP$7</f>
        <v>2037022.5</v>
      </c>
      <c r="AQ106" s="243">
        <v>2000</v>
      </c>
      <c r="AR106" s="243">
        <v>2000</v>
      </c>
      <c r="AS106" s="243">
        <f>$T106*AS$7</f>
        <v>203702.25</v>
      </c>
      <c r="AT106" s="247">
        <v>0</v>
      </c>
      <c r="AU106" s="243">
        <f>$T106*AU$7</f>
        <v>1527766.875</v>
      </c>
      <c r="AV106" s="243">
        <f>$T106*AV$7</f>
        <v>4074045</v>
      </c>
      <c r="AW106" s="248">
        <f>SUM(U106:AV106)</f>
        <v>16318978.6625</v>
      </c>
      <c r="AX106" s="249">
        <f>(F106+P106+S106+AW106)*AY106*AZ106</f>
        <v>42541237.31849999</v>
      </c>
      <c r="AY106" s="250">
        <v>3</v>
      </c>
      <c r="AZ106" s="251">
        <v>0.12</v>
      </c>
      <c r="BA106" s="252">
        <f>F106+P106+S106+AW106+AX106</f>
        <v>160711340.98099998</v>
      </c>
    </row>
    <row r="107" spans="2:54" x14ac:dyDescent="0.3">
      <c r="B107" s="253"/>
      <c r="C107" s="230"/>
      <c r="E107" s="231"/>
      <c r="F107" s="194">
        <f>F106/$C$95</f>
        <v>452.84475399486024</v>
      </c>
      <c r="P107" s="170">
        <f>P106/$C$95</f>
        <v>0</v>
      </c>
      <c r="S107" s="170">
        <f>S106/$C$95</f>
        <v>0</v>
      </c>
      <c r="AW107" s="170">
        <f>AW106/$C$95</f>
        <v>72.556526772455243</v>
      </c>
      <c r="AX107" s="170">
        <f>AX106/$C$95</f>
        <v>189.14446107623354</v>
      </c>
      <c r="BA107" s="170">
        <f>BA106/$C$95</f>
        <v>714.54574184354897</v>
      </c>
    </row>
    <row r="108" spans="2:54" ht="17.25" thickBot="1" x14ac:dyDescent="0.35">
      <c r="B108" s="253"/>
      <c r="C108" s="230"/>
      <c r="E108" s="231"/>
      <c r="F108" s="194"/>
    </row>
    <row r="109" spans="2:54" ht="31.5" customHeight="1" x14ac:dyDescent="0.3">
      <c r="B109" s="254" t="s">
        <v>346</v>
      </c>
      <c r="C109" s="255">
        <v>224914</v>
      </c>
      <c r="D109" s="256"/>
      <c r="E109" s="257"/>
      <c r="F109" s="258"/>
      <c r="G109" s="259"/>
      <c r="H109" s="259"/>
      <c r="I109" s="259"/>
      <c r="J109" s="259"/>
      <c r="K109" s="259"/>
      <c r="L109" s="259"/>
      <c r="M109" s="259"/>
      <c r="N109" s="259"/>
      <c r="O109" s="259"/>
      <c r="P109" s="259"/>
      <c r="Q109" s="259"/>
      <c r="R109" s="259"/>
      <c r="S109" s="259"/>
      <c r="T109" s="259"/>
      <c r="U109" s="259"/>
      <c r="V109" s="259"/>
      <c r="W109" s="259"/>
      <c r="X109" s="259"/>
      <c r="Y109" s="259"/>
      <c r="Z109" s="259"/>
      <c r="AA109" s="259"/>
      <c r="AB109" s="259"/>
      <c r="AC109" s="259"/>
      <c r="AD109" s="259"/>
      <c r="AE109" s="259"/>
      <c r="AF109" s="259"/>
      <c r="AG109" s="259"/>
      <c r="AH109" s="259"/>
      <c r="AI109" s="259"/>
      <c r="AJ109" s="259"/>
      <c r="AK109" s="259"/>
      <c r="AL109" s="259"/>
      <c r="AM109" s="259"/>
      <c r="AN109" s="259"/>
      <c r="AO109" s="259"/>
      <c r="AP109" s="259"/>
      <c r="AQ109" s="259"/>
      <c r="AR109" s="259"/>
      <c r="AS109" s="259"/>
      <c r="AT109" s="259"/>
      <c r="AU109" s="259"/>
      <c r="AV109" s="259"/>
      <c r="AW109" s="259"/>
      <c r="AX109" s="259"/>
      <c r="AY109" s="259"/>
      <c r="AZ109" s="260"/>
      <c r="BA109" s="261"/>
    </row>
    <row r="110" spans="2:54" ht="5.25" customHeight="1" x14ac:dyDescent="0.3">
      <c r="B110" s="221"/>
      <c r="C110" s="230"/>
      <c r="E110" s="231"/>
      <c r="F110" s="194"/>
      <c r="BA110" s="224"/>
    </row>
    <row r="111" spans="2:54" x14ac:dyDescent="0.3">
      <c r="B111" s="225" t="s">
        <v>317</v>
      </c>
      <c r="C111" s="226"/>
      <c r="D111" s="227"/>
      <c r="E111" s="233"/>
      <c r="F111" s="234"/>
      <c r="G111" s="229"/>
      <c r="H111" s="229"/>
      <c r="I111" s="229"/>
      <c r="J111" s="229"/>
      <c r="K111" s="229"/>
      <c r="L111" s="229"/>
      <c r="M111" s="229"/>
      <c r="N111" s="229"/>
      <c r="O111" s="229"/>
      <c r="P111" s="229"/>
      <c r="Q111" s="229"/>
      <c r="R111" s="229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F111" s="229"/>
      <c r="AG111" s="229"/>
      <c r="AH111" s="229"/>
      <c r="AI111" s="229"/>
      <c r="AJ111" s="229"/>
      <c r="AK111" s="229"/>
      <c r="AL111" s="229"/>
      <c r="AM111" s="229"/>
      <c r="AN111" s="229"/>
      <c r="AO111" s="229"/>
      <c r="AP111" s="229"/>
      <c r="AQ111" s="229"/>
      <c r="AR111" s="229"/>
      <c r="AS111" s="229"/>
      <c r="AT111" s="229"/>
      <c r="AU111" s="229"/>
      <c r="AV111" s="229"/>
      <c r="AW111" s="229"/>
      <c r="AX111" s="229"/>
      <c r="AY111" s="229"/>
      <c r="BA111" s="224"/>
    </row>
    <row r="112" spans="2:54" x14ac:dyDescent="0.3">
      <c r="B112" s="221" t="s">
        <v>318</v>
      </c>
      <c r="C112" s="230">
        <v>131325</v>
      </c>
      <c r="D112" s="168" t="s">
        <v>316</v>
      </c>
      <c r="E112" s="231">
        <v>8</v>
      </c>
      <c r="F112" s="194">
        <f t="shared" ref="F112:F115" si="12">E112*C112</f>
        <v>1050600</v>
      </c>
      <c r="BA112" s="224"/>
      <c r="BB112" s="262"/>
    </row>
    <row r="113" spans="2:54" x14ac:dyDescent="0.3">
      <c r="B113" s="221" t="s">
        <v>319</v>
      </c>
      <c r="C113" s="230">
        <v>63000</v>
      </c>
      <c r="D113" s="168" t="s">
        <v>316</v>
      </c>
      <c r="E113" s="231">
        <v>2</v>
      </c>
      <c r="F113" s="194">
        <f t="shared" si="12"/>
        <v>126000</v>
      </c>
      <c r="BA113" s="224"/>
      <c r="BB113" s="262"/>
    </row>
    <row r="114" spans="2:54" ht="33" x14ac:dyDescent="0.3">
      <c r="B114" s="221" t="s">
        <v>336</v>
      </c>
      <c r="C114" s="230">
        <v>15000</v>
      </c>
      <c r="D114" s="168" t="s">
        <v>316</v>
      </c>
      <c r="E114" s="231">
        <v>1.5</v>
      </c>
      <c r="F114" s="194">
        <f t="shared" si="12"/>
        <v>22500</v>
      </c>
      <c r="BA114" s="224"/>
      <c r="BB114" s="262"/>
    </row>
    <row r="115" spans="2:54" x14ac:dyDescent="0.3">
      <c r="B115" s="221" t="s">
        <v>337</v>
      </c>
      <c r="C115" s="230">
        <v>1</v>
      </c>
      <c r="D115" s="168" t="s">
        <v>150</v>
      </c>
      <c r="E115" s="232">
        <v>75000</v>
      </c>
      <c r="F115" s="194">
        <f t="shared" si="12"/>
        <v>75000</v>
      </c>
      <c r="BA115" s="224"/>
      <c r="BB115" s="262"/>
    </row>
    <row r="116" spans="2:54" ht="33" x14ac:dyDescent="0.3">
      <c r="B116" s="221" t="s">
        <v>338</v>
      </c>
      <c r="C116" s="230">
        <v>1</v>
      </c>
      <c r="D116" s="168" t="s">
        <v>150</v>
      </c>
      <c r="E116" s="232">
        <v>300000</v>
      </c>
      <c r="F116" s="194">
        <f>E116*C116</f>
        <v>300000</v>
      </c>
      <c r="BA116" s="224"/>
      <c r="BB116" s="262"/>
    </row>
    <row r="117" spans="2:54" x14ac:dyDescent="0.3">
      <c r="B117" s="221"/>
      <c r="C117" s="230"/>
      <c r="E117" s="231"/>
      <c r="F117" s="194"/>
      <c r="BA117" s="224"/>
      <c r="BB117" s="262"/>
    </row>
    <row r="118" spans="2:54" x14ac:dyDescent="0.3">
      <c r="B118" s="225" t="s">
        <v>321</v>
      </c>
      <c r="C118" s="226"/>
      <c r="D118" s="227"/>
      <c r="E118" s="233"/>
      <c r="F118" s="234"/>
      <c r="G118" s="229"/>
      <c r="H118" s="229"/>
      <c r="I118" s="229"/>
      <c r="J118" s="229"/>
      <c r="K118" s="229"/>
      <c r="L118" s="229"/>
      <c r="M118" s="229"/>
      <c r="N118" s="229"/>
      <c r="O118" s="229"/>
      <c r="P118" s="229"/>
      <c r="Q118" s="229"/>
      <c r="R118" s="229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F118" s="229"/>
      <c r="AG118" s="229"/>
      <c r="AH118" s="229"/>
      <c r="AI118" s="229"/>
      <c r="AJ118" s="229"/>
      <c r="AK118" s="229"/>
      <c r="AL118" s="229"/>
      <c r="AM118" s="229"/>
      <c r="AN118" s="229"/>
      <c r="AO118" s="229"/>
      <c r="AP118" s="229"/>
      <c r="AQ118" s="229"/>
      <c r="AR118" s="229"/>
      <c r="AS118" s="229"/>
      <c r="AT118" s="229"/>
      <c r="AU118" s="229"/>
      <c r="AV118" s="229"/>
      <c r="AW118" s="229"/>
      <c r="AX118" s="229"/>
      <c r="AY118" s="229"/>
      <c r="BA118" s="224"/>
    </row>
    <row r="119" spans="2:54" x14ac:dyDescent="0.3">
      <c r="B119" s="221" t="s">
        <v>339</v>
      </c>
      <c r="C119" s="230">
        <v>224914</v>
      </c>
      <c r="D119" s="168" t="s">
        <v>316</v>
      </c>
      <c r="E119" s="231"/>
      <c r="F119" s="194">
        <f t="shared" ref="F119:F122" si="13">E119*C119</f>
        <v>0</v>
      </c>
      <c r="BA119" s="224"/>
    </row>
    <row r="120" spans="2:54" x14ac:dyDescent="0.3">
      <c r="B120" s="236" t="s">
        <v>323</v>
      </c>
      <c r="C120" s="230">
        <f>C119*0.5</f>
        <v>112457</v>
      </c>
      <c r="D120" s="168" t="s">
        <v>316</v>
      </c>
      <c r="E120" s="232">
        <v>425</v>
      </c>
      <c r="F120" s="194">
        <f t="shared" si="13"/>
        <v>47794225</v>
      </c>
      <c r="BA120" s="224"/>
    </row>
    <row r="121" spans="2:54" x14ac:dyDescent="0.3">
      <c r="B121" s="236" t="s">
        <v>324</v>
      </c>
      <c r="C121" s="230">
        <f>C119*0.25</f>
        <v>56228.5</v>
      </c>
      <c r="D121" s="168" t="s">
        <v>316</v>
      </c>
      <c r="E121" s="232">
        <v>400</v>
      </c>
      <c r="F121" s="194">
        <f t="shared" si="13"/>
        <v>22491400</v>
      </c>
      <c r="BA121" s="224"/>
    </row>
    <row r="122" spans="2:54" x14ac:dyDescent="0.3">
      <c r="B122" s="236" t="s">
        <v>340</v>
      </c>
      <c r="C122" s="230">
        <f>C119*0.25</f>
        <v>56228.5</v>
      </c>
      <c r="D122" s="168" t="s">
        <v>316</v>
      </c>
      <c r="E122" s="232">
        <v>400</v>
      </c>
      <c r="F122" s="194">
        <f t="shared" si="13"/>
        <v>22491400</v>
      </c>
      <c r="BA122" s="224"/>
    </row>
    <row r="123" spans="2:54" x14ac:dyDescent="0.3">
      <c r="B123" s="263" t="s">
        <v>341</v>
      </c>
      <c r="C123" s="230">
        <v>1</v>
      </c>
      <c r="D123" s="168" t="s">
        <v>150</v>
      </c>
      <c r="E123" s="232">
        <v>100000</v>
      </c>
      <c r="F123" s="264" t="s">
        <v>342</v>
      </c>
      <c r="BA123" s="224"/>
    </row>
    <row r="124" spans="2:54" x14ac:dyDescent="0.3">
      <c r="B124" s="265" t="s">
        <v>343</v>
      </c>
      <c r="C124" s="230">
        <v>1</v>
      </c>
      <c r="D124" s="168" t="s">
        <v>150</v>
      </c>
      <c r="E124" s="232">
        <v>1000000</v>
      </c>
      <c r="F124" s="264" t="s">
        <v>342</v>
      </c>
      <c r="BA124" s="224"/>
    </row>
    <row r="125" spans="2:54" ht="30" x14ac:dyDescent="0.3">
      <c r="B125" s="235" t="s">
        <v>344</v>
      </c>
      <c r="C125" s="230">
        <v>1</v>
      </c>
      <c r="D125" s="168" t="s">
        <v>150</v>
      </c>
      <c r="E125" s="232">
        <v>7500000</v>
      </c>
      <c r="F125" s="194">
        <f t="shared" ref="F125" si="14">E125*C125</f>
        <v>7500000</v>
      </c>
      <c r="BA125" s="224"/>
    </row>
    <row r="126" spans="2:54" outlineLevel="1" x14ac:dyDescent="0.3">
      <c r="B126" s="221" t="s">
        <v>326</v>
      </c>
      <c r="C126" s="230">
        <v>1</v>
      </c>
      <c r="D126" s="168" t="s">
        <v>150</v>
      </c>
      <c r="E126" s="232">
        <v>6500000</v>
      </c>
      <c r="F126" s="194"/>
      <c r="BA126" s="224"/>
    </row>
    <row r="127" spans="2:54" outlineLevel="1" x14ac:dyDescent="0.3">
      <c r="B127" s="221" t="s">
        <v>345</v>
      </c>
      <c r="C127" s="230">
        <v>65000</v>
      </c>
      <c r="D127" s="168" t="s">
        <v>316</v>
      </c>
      <c r="E127" s="231">
        <v>12</v>
      </c>
      <c r="F127" s="194"/>
      <c r="BA127" s="224"/>
    </row>
    <row r="128" spans="2:54" outlineLevel="1" x14ac:dyDescent="0.3">
      <c r="B128" s="221"/>
      <c r="C128" s="230"/>
      <c r="E128" s="231"/>
      <c r="F128" s="194"/>
      <c r="BA128" s="224"/>
    </row>
    <row r="129" spans="2:54" x14ac:dyDescent="0.3">
      <c r="B129" s="221"/>
      <c r="C129" s="230"/>
      <c r="E129" s="231"/>
      <c r="F129" s="194"/>
      <c r="BA129" s="224"/>
    </row>
    <row r="130" spans="2:54" ht="26.25" thickBot="1" x14ac:dyDescent="0.4">
      <c r="B130" s="238" t="s">
        <v>328</v>
      </c>
      <c r="C130" s="239"/>
      <c r="D130" s="240"/>
      <c r="E130" s="241"/>
      <c r="F130" s="242">
        <f>SUM(F112:F129)</f>
        <v>101851125</v>
      </c>
      <c r="G130" s="243">
        <f>$F130*G$7</f>
        <v>5092556.25</v>
      </c>
      <c r="H130" s="243">
        <f t="shared" ref="H130:O130" si="15">$F130*H$7</f>
        <v>3055533.75</v>
      </c>
      <c r="I130" s="243">
        <f t="shared" si="15"/>
        <v>1018511.25</v>
      </c>
      <c r="J130" s="243">
        <f t="shared" si="15"/>
        <v>91666.012499999997</v>
      </c>
      <c r="K130" s="243">
        <f t="shared" si="15"/>
        <v>699589.20954058005</v>
      </c>
      <c r="L130" s="243">
        <f t="shared" si="15"/>
        <v>699589.20954058005</v>
      </c>
      <c r="M130" s="243">
        <f t="shared" si="15"/>
        <v>1018511.25</v>
      </c>
      <c r="N130" s="243">
        <f t="shared" si="15"/>
        <v>3055533.75</v>
      </c>
      <c r="O130" s="243">
        <f t="shared" si="15"/>
        <v>4074045</v>
      </c>
      <c r="P130" s="244"/>
      <c r="Q130" s="243"/>
      <c r="R130" s="243"/>
      <c r="S130" s="245"/>
      <c r="T130" s="246">
        <f>F130+P130+S130</f>
        <v>101851125</v>
      </c>
      <c r="U130" s="243">
        <f>$T130*U$7</f>
        <v>5601811.875</v>
      </c>
      <c r="V130" s="243">
        <f>$T130*V$7</f>
        <v>2037022.5</v>
      </c>
      <c r="W130" s="243">
        <v>5000</v>
      </c>
      <c r="X130" s="243">
        <v>2500</v>
      </c>
      <c r="Y130" s="243">
        <v>5000</v>
      </c>
      <c r="Z130" s="243">
        <v>2500</v>
      </c>
      <c r="AA130" s="243">
        <v>2500</v>
      </c>
      <c r="AB130" s="243">
        <f>$T130*AB$7</f>
        <v>50925.5625</v>
      </c>
      <c r="AC130" s="243">
        <f>$T130*AC$7</f>
        <v>203702.25</v>
      </c>
      <c r="AD130" s="243">
        <v>9604</v>
      </c>
      <c r="AE130" s="243">
        <v>20250</v>
      </c>
      <c r="AF130" s="247">
        <v>0</v>
      </c>
      <c r="AG130" s="247">
        <v>0</v>
      </c>
      <c r="AH130" s="247">
        <v>0</v>
      </c>
      <c r="AI130" s="243">
        <f>$T130*AI$7</f>
        <v>203702.25</v>
      </c>
      <c r="AJ130" s="243">
        <v>2000</v>
      </c>
      <c r="AK130" s="243">
        <f>$T130*AK$7</f>
        <v>20370.225000000002</v>
      </c>
      <c r="AL130" s="243">
        <f>$T130*AL$7</f>
        <v>305553.375</v>
      </c>
      <c r="AM130" s="247">
        <v>0</v>
      </c>
      <c r="AN130" s="247">
        <v>0</v>
      </c>
      <c r="AO130" s="247">
        <v>0</v>
      </c>
      <c r="AP130" s="243">
        <f>$T130*AP$7</f>
        <v>2037022.5</v>
      </c>
      <c r="AQ130" s="243">
        <v>2000</v>
      </c>
      <c r="AR130" s="243">
        <v>2000</v>
      </c>
      <c r="AS130" s="243">
        <f>$T130*AS$7</f>
        <v>203702.25</v>
      </c>
      <c r="AT130" s="247">
        <v>0</v>
      </c>
      <c r="AU130" s="243">
        <f>$T130*AU$7</f>
        <v>1527766.875</v>
      </c>
      <c r="AV130" s="243">
        <f>$T130*AV$7</f>
        <v>4074045</v>
      </c>
      <c r="AW130" s="248">
        <f>SUM(U130:AV130)</f>
        <v>16318978.6625</v>
      </c>
      <c r="AX130" s="249">
        <f>(F130+P130+S130+AW130)*AY130*AZ130</f>
        <v>42541237.31849999</v>
      </c>
      <c r="AY130" s="250">
        <v>3</v>
      </c>
      <c r="AZ130" s="251">
        <v>0.12</v>
      </c>
      <c r="BA130" s="252">
        <f>F130+P130+S130+AW130+AX130</f>
        <v>160711340.98099998</v>
      </c>
    </row>
    <row r="131" spans="2:54" ht="17.25" thickBot="1" x14ac:dyDescent="0.35">
      <c r="B131" s="253"/>
      <c r="C131" s="230"/>
      <c r="E131" s="231"/>
      <c r="F131" s="194">
        <f>F130/$C$95</f>
        <v>452.84475399486024</v>
      </c>
      <c r="P131" s="170">
        <f>P130/$C$95</f>
        <v>0</v>
      </c>
      <c r="S131" s="170">
        <f>S130/$C$95</f>
        <v>0</v>
      </c>
      <c r="AW131" s="170">
        <f>AW130/$C$95</f>
        <v>72.556526772455243</v>
      </c>
      <c r="AX131" s="170">
        <f>AX130/$C$95</f>
        <v>189.14446107623354</v>
      </c>
      <c r="BA131" s="170">
        <f>BA130/$C$95</f>
        <v>714.54574184354897</v>
      </c>
    </row>
    <row r="132" spans="2:54" ht="31.5" customHeight="1" x14ac:dyDescent="0.3">
      <c r="B132" s="254" t="s">
        <v>347</v>
      </c>
      <c r="C132" s="255">
        <v>138193</v>
      </c>
      <c r="D132" s="256"/>
      <c r="E132" s="257"/>
      <c r="F132" s="258"/>
      <c r="G132" s="259"/>
      <c r="H132" s="259"/>
      <c r="I132" s="259"/>
      <c r="J132" s="259"/>
      <c r="K132" s="259"/>
      <c r="L132" s="259"/>
      <c r="M132" s="259"/>
      <c r="N132" s="259"/>
      <c r="O132" s="259"/>
      <c r="P132" s="259"/>
      <c r="Q132" s="259"/>
      <c r="R132" s="259"/>
      <c r="S132" s="259"/>
      <c r="T132" s="259"/>
      <c r="U132" s="259"/>
      <c r="V132" s="259"/>
      <c r="W132" s="259"/>
      <c r="X132" s="259"/>
      <c r="Y132" s="259"/>
      <c r="Z132" s="259"/>
      <c r="AA132" s="259"/>
      <c r="AB132" s="259"/>
      <c r="AC132" s="259"/>
      <c r="AD132" s="259"/>
      <c r="AE132" s="259"/>
      <c r="AF132" s="259"/>
      <c r="AG132" s="259"/>
      <c r="AH132" s="259"/>
      <c r="AI132" s="259"/>
      <c r="AJ132" s="259"/>
      <c r="AK132" s="259"/>
      <c r="AL132" s="259"/>
      <c r="AM132" s="259"/>
      <c r="AN132" s="259"/>
      <c r="AO132" s="259"/>
      <c r="AP132" s="259"/>
      <c r="AQ132" s="259"/>
      <c r="AR132" s="259"/>
      <c r="AS132" s="259"/>
      <c r="AT132" s="259"/>
      <c r="AU132" s="259"/>
      <c r="AV132" s="259"/>
      <c r="AW132" s="259"/>
      <c r="AX132" s="259"/>
      <c r="AY132" s="259"/>
      <c r="AZ132" s="260"/>
      <c r="BA132" s="261"/>
    </row>
    <row r="133" spans="2:54" ht="5.25" customHeight="1" x14ac:dyDescent="0.3">
      <c r="B133" s="221"/>
      <c r="C133" s="230"/>
      <c r="E133" s="231"/>
      <c r="F133" s="194"/>
      <c r="BA133" s="224"/>
    </row>
    <row r="134" spans="2:54" x14ac:dyDescent="0.3">
      <c r="B134" s="225" t="s">
        <v>317</v>
      </c>
      <c r="C134" s="226"/>
      <c r="D134" s="227"/>
      <c r="E134" s="233"/>
      <c r="F134" s="234"/>
      <c r="G134" s="229"/>
      <c r="H134" s="229"/>
      <c r="I134" s="229"/>
      <c r="J134" s="229"/>
      <c r="K134" s="229"/>
      <c r="L134" s="229"/>
      <c r="M134" s="229"/>
      <c r="N134" s="229"/>
      <c r="O134" s="229"/>
      <c r="P134" s="229"/>
      <c r="Q134" s="229"/>
      <c r="R134" s="229"/>
      <c r="S134" s="229"/>
      <c r="T134" s="229"/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F134" s="229"/>
      <c r="AG134" s="229"/>
      <c r="AH134" s="229"/>
      <c r="AI134" s="229"/>
      <c r="AJ134" s="229"/>
      <c r="AK134" s="229"/>
      <c r="AL134" s="229"/>
      <c r="AM134" s="229"/>
      <c r="AN134" s="229"/>
      <c r="AO134" s="229"/>
      <c r="AP134" s="229"/>
      <c r="AQ134" s="229"/>
      <c r="AR134" s="229"/>
      <c r="AS134" s="229"/>
      <c r="AT134" s="229"/>
      <c r="AU134" s="229"/>
      <c r="AV134" s="229"/>
      <c r="AW134" s="229"/>
      <c r="AX134" s="229"/>
      <c r="AY134" s="229"/>
      <c r="BA134" s="224"/>
    </row>
    <row r="135" spans="2:54" x14ac:dyDescent="0.3">
      <c r="B135" s="221" t="s">
        <v>318</v>
      </c>
      <c r="C135" s="230">
        <v>131325</v>
      </c>
      <c r="D135" s="168" t="s">
        <v>316</v>
      </c>
      <c r="E135" s="231">
        <v>8</v>
      </c>
      <c r="F135" s="194">
        <f t="shared" ref="F135:F138" si="16">E135*C135</f>
        <v>1050600</v>
      </c>
      <c r="BA135" s="224"/>
      <c r="BB135" s="262"/>
    </row>
    <row r="136" spans="2:54" x14ac:dyDescent="0.3">
      <c r="B136" s="221" t="s">
        <v>319</v>
      </c>
      <c r="C136" s="230">
        <v>63000</v>
      </c>
      <c r="D136" s="168" t="s">
        <v>316</v>
      </c>
      <c r="E136" s="231">
        <v>2</v>
      </c>
      <c r="F136" s="194">
        <f t="shared" si="16"/>
        <v>126000</v>
      </c>
      <c r="BA136" s="224"/>
      <c r="BB136" s="262"/>
    </row>
    <row r="137" spans="2:54" ht="33" x14ac:dyDescent="0.3">
      <c r="B137" s="221" t="s">
        <v>336</v>
      </c>
      <c r="C137" s="230">
        <v>15000</v>
      </c>
      <c r="D137" s="168" t="s">
        <v>316</v>
      </c>
      <c r="E137" s="231">
        <v>1.5</v>
      </c>
      <c r="F137" s="194">
        <f t="shared" si="16"/>
        <v>22500</v>
      </c>
      <c r="BA137" s="224"/>
      <c r="BB137" s="262"/>
    </row>
    <row r="138" spans="2:54" x14ac:dyDescent="0.3">
      <c r="B138" s="221" t="s">
        <v>337</v>
      </c>
      <c r="C138" s="230">
        <v>1</v>
      </c>
      <c r="D138" s="168" t="s">
        <v>150</v>
      </c>
      <c r="E138" s="232">
        <v>75000</v>
      </c>
      <c r="F138" s="194">
        <f t="shared" si="16"/>
        <v>75000</v>
      </c>
      <c r="BA138" s="224"/>
      <c r="BB138" s="262"/>
    </row>
    <row r="139" spans="2:54" ht="33" x14ac:dyDescent="0.3">
      <c r="B139" s="221" t="s">
        <v>338</v>
      </c>
      <c r="C139" s="230">
        <v>1</v>
      </c>
      <c r="D139" s="168" t="s">
        <v>150</v>
      </c>
      <c r="E139" s="232">
        <v>300000</v>
      </c>
      <c r="F139" s="194">
        <f>E139*C139</f>
        <v>300000</v>
      </c>
      <c r="BA139" s="224"/>
      <c r="BB139" s="262"/>
    </row>
    <row r="140" spans="2:54" x14ac:dyDescent="0.3">
      <c r="B140" s="221"/>
      <c r="C140" s="230"/>
      <c r="E140" s="231"/>
      <c r="F140" s="194"/>
      <c r="BA140" s="224"/>
      <c r="BB140" s="262"/>
    </row>
    <row r="141" spans="2:54" x14ac:dyDescent="0.3">
      <c r="B141" s="225" t="s">
        <v>321</v>
      </c>
      <c r="C141" s="226"/>
      <c r="D141" s="227"/>
      <c r="E141" s="233"/>
      <c r="F141" s="234"/>
      <c r="G141" s="229"/>
      <c r="H141" s="229"/>
      <c r="I141" s="229"/>
      <c r="J141" s="229"/>
      <c r="K141" s="229"/>
      <c r="L141" s="229"/>
      <c r="M141" s="229"/>
      <c r="N141" s="229"/>
      <c r="O141" s="229"/>
      <c r="P141" s="229"/>
      <c r="Q141" s="229"/>
      <c r="R141" s="229"/>
      <c r="S141" s="229"/>
      <c r="T141" s="229"/>
      <c r="U141" s="229"/>
      <c r="V141" s="229"/>
      <c r="W141" s="229"/>
      <c r="X141" s="229"/>
      <c r="Y141" s="229"/>
      <c r="Z141" s="229"/>
      <c r="AA141" s="229"/>
      <c r="AB141" s="229"/>
      <c r="AC141" s="229"/>
      <c r="AD141" s="229"/>
      <c r="AE141" s="229"/>
      <c r="AF141" s="229"/>
      <c r="AG141" s="229"/>
      <c r="AH141" s="229"/>
      <c r="AI141" s="229"/>
      <c r="AJ141" s="229"/>
      <c r="AK141" s="229"/>
      <c r="AL141" s="229"/>
      <c r="AM141" s="229"/>
      <c r="AN141" s="229"/>
      <c r="AO141" s="229"/>
      <c r="AP141" s="229"/>
      <c r="AQ141" s="229"/>
      <c r="AR141" s="229"/>
      <c r="AS141" s="229"/>
      <c r="AT141" s="229"/>
      <c r="AU141" s="229"/>
      <c r="AV141" s="229"/>
      <c r="AW141" s="229"/>
      <c r="AX141" s="229"/>
      <c r="AY141" s="229"/>
      <c r="BA141" s="224"/>
    </row>
    <row r="142" spans="2:54" x14ac:dyDescent="0.3">
      <c r="B142" s="221" t="s">
        <v>339</v>
      </c>
      <c r="C142" s="230">
        <v>138193</v>
      </c>
      <c r="D142" s="168" t="s">
        <v>316</v>
      </c>
      <c r="E142" s="231"/>
      <c r="F142" s="194">
        <f t="shared" ref="F142:F145" si="17">E142*C142</f>
        <v>0</v>
      </c>
      <c r="BA142" s="224"/>
    </row>
    <row r="143" spans="2:54" x14ac:dyDescent="0.3">
      <c r="B143" s="236" t="s">
        <v>323</v>
      </c>
      <c r="C143" s="230">
        <f>C142*0.7</f>
        <v>96735.099999999991</v>
      </c>
      <c r="D143" s="168" t="s">
        <v>316</v>
      </c>
      <c r="E143" s="232">
        <v>425</v>
      </c>
      <c r="F143" s="194">
        <f t="shared" si="17"/>
        <v>41112417.5</v>
      </c>
      <c r="BA143" s="224"/>
    </row>
    <row r="144" spans="2:54" x14ac:dyDescent="0.3">
      <c r="B144" s="236" t="s">
        <v>324</v>
      </c>
      <c r="C144" s="230">
        <f>C142*0.3</f>
        <v>41457.9</v>
      </c>
      <c r="D144" s="168" t="s">
        <v>316</v>
      </c>
      <c r="E144" s="232">
        <v>400</v>
      </c>
      <c r="F144" s="194">
        <f t="shared" si="17"/>
        <v>16583160</v>
      </c>
      <c r="BA144" s="224"/>
    </row>
    <row r="145" spans="2:54" x14ac:dyDescent="0.3">
      <c r="B145" s="236" t="s">
        <v>340</v>
      </c>
      <c r="C145" s="230"/>
      <c r="D145" s="168" t="s">
        <v>316</v>
      </c>
      <c r="E145" s="232">
        <v>400</v>
      </c>
      <c r="F145" s="194">
        <f t="shared" si="17"/>
        <v>0</v>
      </c>
      <c r="BA145" s="224"/>
    </row>
    <row r="146" spans="2:54" x14ac:dyDescent="0.3">
      <c r="B146" s="263" t="s">
        <v>341</v>
      </c>
      <c r="C146" s="230">
        <v>1</v>
      </c>
      <c r="D146" s="168" t="s">
        <v>150</v>
      </c>
      <c r="E146" s="232">
        <v>100000</v>
      </c>
      <c r="F146" s="264" t="s">
        <v>342</v>
      </c>
      <c r="BA146" s="224"/>
    </row>
    <row r="147" spans="2:54" x14ac:dyDescent="0.3">
      <c r="B147" s="265" t="s">
        <v>343</v>
      </c>
      <c r="C147" s="230">
        <v>1</v>
      </c>
      <c r="D147" s="168" t="s">
        <v>150</v>
      </c>
      <c r="E147" s="232">
        <v>1000000</v>
      </c>
      <c r="F147" s="264" t="s">
        <v>342</v>
      </c>
      <c r="BA147" s="224"/>
    </row>
    <row r="148" spans="2:54" ht="30" x14ac:dyDescent="0.3">
      <c r="B148" s="235" t="s">
        <v>344</v>
      </c>
      <c r="C148" s="230">
        <v>1</v>
      </c>
      <c r="D148" s="168" t="s">
        <v>150</v>
      </c>
      <c r="E148" s="232">
        <v>7500000</v>
      </c>
      <c r="F148" s="194">
        <f t="shared" ref="F148" si="18">E148*C148</f>
        <v>7500000</v>
      </c>
      <c r="BA148" s="224"/>
    </row>
    <row r="149" spans="2:54" outlineLevel="1" x14ac:dyDescent="0.3">
      <c r="B149" s="221" t="s">
        <v>326</v>
      </c>
      <c r="C149" s="230">
        <v>1</v>
      </c>
      <c r="D149" s="168" t="s">
        <v>150</v>
      </c>
      <c r="E149" s="232">
        <v>6500000</v>
      </c>
      <c r="F149" s="194"/>
      <c r="BA149" s="224"/>
    </row>
    <row r="150" spans="2:54" outlineLevel="1" x14ac:dyDescent="0.3">
      <c r="B150" s="221" t="s">
        <v>345</v>
      </c>
      <c r="C150" s="230">
        <v>65000</v>
      </c>
      <c r="D150" s="168" t="s">
        <v>316</v>
      </c>
      <c r="E150" s="231">
        <v>12</v>
      </c>
      <c r="F150" s="194"/>
      <c r="BA150" s="224"/>
    </row>
    <row r="151" spans="2:54" outlineLevel="1" x14ac:dyDescent="0.3">
      <c r="B151" s="221"/>
      <c r="C151" s="230"/>
      <c r="E151" s="231"/>
      <c r="F151" s="194"/>
      <c r="BA151" s="224"/>
    </row>
    <row r="152" spans="2:54" x14ac:dyDescent="0.3">
      <c r="B152" s="221"/>
      <c r="C152" s="230"/>
      <c r="E152" s="231"/>
      <c r="F152" s="194"/>
      <c r="BA152" s="224"/>
    </row>
    <row r="153" spans="2:54" ht="26.25" thickBot="1" x14ac:dyDescent="0.4">
      <c r="B153" s="238" t="s">
        <v>328</v>
      </c>
      <c r="C153" s="239"/>
      <c r="D153" s="240"/>
      <c r="E153" s="241"/>
      <c r="F153" s="242">
        <f>SUM(F135:F152)</f>
        <v>66769677.5</v>
      </c>
      <c r="G153" s="243">
        <f>$F153*G$7</f>
        <v>3338483.875</v>
      </c>
      <c r="H153" s="243">
        <f t="shared" ref="H153:O153" si="19">$F153*H$7</f>
        <v>2003090.325</v>
      </c>
      <c r="I153" s="243">
        <f t="shared" si="19"/>
        <v>667696.77500000002</v>
      </c>
      <c r="J153" s="243">
        <f t="shared" si="19"/>
        <v>60092.709750000002</v>
      </c>
      <c r="K153" s="243">
        <f t="shared" si="19"/>
        <v>458623.7599585125</v>
      </c>
      <c r="L153" s="243">
        <f t="shared" si="19"/>
        <v>458623.7599585125</v>
      </c>
      <c r="M153" s="243">
        <f t="shared" si="19"/>
        <v>667696.77500000002</v>
      </c>
      <c r="N153" s="243">
        <f t="shared" si="19"/>
        <v>2003090.325</v>
      </c>
      <c r="O153" s="243">
        <f t="shared" si="19"/>
        <v>2670787.1</v>
      </c>
      <c r="P153" s="244"/>
      <c r="Q153" s="243"/>
      <c r="R153" s="243"/>
      <c r="S153" s="245"/>
      <c r="T153" s="246">
        <f>F153+P153+S153</f>
        <v>66769677.5</v>
      </c>
      <c r="U153" s="243">
        <f>$T153*U$7</f>
        <v>3672332.2625000002</v>
      </c>
      <c r="V153" s="243">
        <f>$T153*V$7</f>
        <v>1335393.55</v>
      </c>
      <c r="W153" s="243">
        <v>5000</v>
      </c>
      <c r="X153" s="243">
        <v>2500</v>
      </c>
      <c r="Y153" s="243">
        <v>5000</v>
      </c>
      <c r="Z153" s="243">
        <v>2500</v>
      </c>
      <c r="AA153" s="243">
        <v>2500</v>
      </c>
      <c r="AB153" s="243">
        <f>$T153*AB$7</f>
        <v>33384.838750000003</v>
      </c>
      <c r="AC153" s="243">
        <f>$T153*AC$7</f>
        <v>133539.35500000001</v>
      </c>
      <c r="AD153" s="243">
        <v>9604</v>
      </c>
      <c r="AE153" s="243">
        <v>20250</v>
      </c>
      <c r="AF153" s="247">
        <v>0</v>
      </c>
      <c r="AG153" s="247">
        <v>0</v>
      </c>
      <c r="AH153" s="247">
        <v>0</v>
      </c>
      <c r="AI153" s="243">
        <f>$T153*AI$7</f>
        <v>133539.35500000001</v>
      </c>
      <c r="AJ153" s="243">
        <v>2000</v>
      </c>
      <c r="AK153" s="243">
        <f>$T153*AK$7</f>
        <v>13353.935500000001</v>
      </c>
      <c r="AL153" s="243">
        <f>$T153*AL$7</f>
        <v>200309.0325</v>
      </c>
      <c r="AM153" s="247">
        <v>0</v>
      </c>
      <c r="AN153" s="247">
        <v>0</v>
      </c>
      <c r="AO153" s="247">
        <v>0</v>
      </c>
      <c r="AP153" s="243">
        <f>$T153*AP$7</f>
        <v>1335393.55</v>
      </c>
      <c r="AQ153" s="243">
        <v>2000</v>
      </c>
      <c r="AR153" s="243">
        <v>2000</v>
      </c>
      <c r="AS153" s="243">
        <f>$T153*AS$7</f>
        <v>133539.35500000001</v>
      </c>
      <c r="AT153" s="247">
        <v>0</v>
      </c>
      <c r="AU153" s="243">
        <f>$T153*AU$7</f>
        <v>1001545.1625</v>
      </c>
      <c r="AV153" s="243">
        <f>$T153*AV$7</f>
        <v>2670787.1</v>
      </c>
      <c r="AW153" s="248">
        <f>SUM(U153:AV153)</f>
        <v>10716471.496750001</v>
      </c>
      <c r="AX153" s="249">
        <f>(F153+P153+S153+AW153)*AY153*AZ153</f>
        <v>27895013.638829999</v>
      </c>
      <c r="AY153" s="250">
        <v>3</v>
      </c>
      <c r="AZ153" s="251">
        <v>0.12</v>
      </c>
      <c r="BA153" s="252">
        <f>F153+P153+S153+AW153+AX153</f>
        <v>105381162.63558</v>
      </c>
    </row>
    <row r="154" spans="2:54" x14ac:dyDescent="0.3">
      <c r="B154" s="253"/>
      <c r="C154" s="230"/>
      <c r="E154" s="231"/>
      <c r="F154" s="194">
        <f>F153/$C$95</f>
        <v>296.86759161279423</v>
      </c>
      <c r="P154" s="170">
        <f>P153/$C$95</f>
        <v>0</v>
      </c>
      <c r="S154" s="170">
        <f>S153/$C$95</f>
        <v>0</v>
      </c>
      <c r="AW154" s="170">
        <f>AW153/$C$95</f>
        <v>47.64697394003931</v>
      </c>
      <c r="AX154" s="170">
        <f>AX153/$C$95</f>
        <v>124.02524359902006</v>
      </c>
      <c r="BA154" s="170">
        <f>BA153/$C$95</f>
        <v>468.5398091518536</v>
      </c>
    </row>
    <row r="155" spans="2:54" ht="17.25" thickBot="1" x14ac:dyDescent="0.35">
      <c r="B155" s="253"/>
      <c r="C155" s="230"/>
      <c r="E155" s="231"/>
      <c r="F155" s="194"/>
      <c r="P155" s="170">
        <f>P107+F107</f>
        <v>452.84475399486024</v>
      </c>
    </row>
    <row r="156" spans="2:54" ht="31.5" customHeight="1" x14ac:dyDescent="0.3">
      <c r="B156" s="254" t="s">
        <v>348</v>
      </c>
      <c r="C156" s="255">
        <v>138193</v>
      </c>
      <c r="D156" s="256"/>
      <c r="E156" s="257"/>
      <c r="F156" s="258"/>
      <c r="G156" s="259"/>
      <c r="H156" s="259"/>
      <c r="I156" s="259"/>
      <c r="J156" s="259"/>
      <c r="K156" s="259"/>
      <c r="L156" s="259"/>
      <c r="M156" s="259"/>
      <c r="N156" s="259"/>
      <c r="O156" s="259"/>
      <c r="P156" s="259"/>
      <c r="Q156" s="259"/>
      <c r="R156" s="259"/>
      <c r="S156" s="259"/>
      <c r="T156" s="259"/>
      <c r="U156" s="259"/>
      <c r="V156" s="259"/>
      <c r="W156" s="259"/>
      <c r="X156" s="259"/>
      <c r="Y156" s="259"/>
      <c r="Z156" s="259"/>
      <c r="AA156" s="259"/>
      <c r="AB156" s="259"/>
      <c r="AC156" s="259"/>
      <c r="AD156" s="259"/>
      <c r="AE156" s="259"/>
      <c r="AF156" s="259"/>
      <c r="AG156" s="259"/>
      <c r="AH156" s="259"/>
      <c r="AI156" s="259"/>
      <c r="AJ156" s="259"/>
      <c r="AK156" s="259"/>
      <c r="AL156" s="259"/>
      <c r="AM156" s="259"/>
      <c r="AN156" s="259"/>
      <c r="AO156" s="259"/>
      <c r="AP156" s="259"/>
      <c r="AQ156" s="259"/>
      <c r="AR156" s="259"/>
      <c r="AS156" s="259"/>
      <c r="AT156" s="259"/>
      <c r="AU156" s="259"/>
      <c r="AV156" s="259"/>
      <c r="AW156" s="259"/>
      <c r="AX156" s="259"/>
      <c r="AY156" s="259"/>
      <c r="AZ156" s="260"/>
      <c r="BA156" s="261"/>
    </row>
    <row r="157" spans="2:54" ht="5.25" customHeight="1" x14ac:dyDescent="0.3">
      <c r="B157" s="221"/>
      <c r="C157" s="230"/>
      <c r="E157" s="231"/>
      <c r="F157" s="194"/>
      <c r="BA157" s="224"/>
    </row>
    <row r="158" spans="2:54" x14ac:dyDescent="0.3">
      <c r="B158" s="225" t="s">
        <v>317</v>
      </c>
      <c r="C158" s="226"/>
      <c r="D158" s="227"/>
      <c r="E158" s="233"/>
      <c r="F158" s="234"/>
      <c r="G158" s="229"/>
      <c r="H158" s="229"/>
      <c r="I158" s="229"/>
      <c r="J158" s="229"/>
      <c r="K158" s="229"/>
      <c r="L158" s="229"/>
      <c r="M158" s="229"/>
      <c r="N158" s="229"/>
      <c r="O158" s="229"/>
      <c r="P158" s="229"/>
      <c r="Q158" s="229"/>
      <c r="R158" s="229"/>
      <c r="S158" s="229"/>
      <c r="T158" s="229"/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F158" s="229"/>
      <c r="AG158" s="229"/>
      <c r="AH158" s="229"/>
      <c r="AI158" s="229"/>
      <c r="AJ158" s="229"/>
      <c r="AK158" s="229"/>
      <c r="AL158" s="229"/>
      <c r="AM158" s="229"/>
      <c r="AN158" s="229"/>
      <c r="AO158" s="229"/>
      <c r="AP158" s="229"/>
      <c r="AQ158" s="229"/>
      <c r="AR158" s="229"/>
      <c r="AS158" s="229"/>
      <c r="AT158" s="229"/>
      <c r="AU158" s="229"/>
      <c r="AV158" s="229"/>
      <c r="AW158" s="229"/>
      <c r="AX158" s="229"/>
      <c r="AY158" s="229"/>
      <c r="BA158" s="224"/>
    </row>
    <row r="159" spans="2:54" x14ac:dyDescent="0.3">
      <c r="B159" s="221" t="s">
        <v>318</v>
      </c>
      <c r="C159" s="230"/>
      <c r="D159" s="168" t="s">
        <v>316</v>
      </c>
      <c r="E159" s="231">
        <v>8</v>
      </c>
      <c r="F159" s="194">
        <f t="shared" ref="F159:F162" si="20">E159*C159</f>
        <v>0</v>
      </c>
      <c r="BA159" s="224"/>
      <c r="BB159" s="262"/>
    </row>
    <row r="160" spans="2:54" x14ac:dyDescent="0.3">
      <c r="B160" s="221" t="s">
        <v>319</v>
      </c>
      <c r="C160" s="230"/>
      <c r="D160" s="168" t="s">
        <v>316</v>
      </c>
      <c r="E160" s="231">
        <v>2</v>
      </c>
      <c r="F160" s="194">
        <f t="shared" si="20"/>
        <v>0</v>
      </c>
      <c r="BA160" s="224"/>
      <c r="BB160" s="262"/>
    </row>
    <row r="161" spans="2:54" ht="33" x14ac:dyDescent="0.3">
      <c r="B161" s="221" t="s">
        <v>336</v>
      </c>
      <c r="C161" s="230"/>
      <c r="D161" s="168" t="s">
        <v>316</v>
      </c>
      <c r="E161" s="231">
        <v>1.5</v>
      </c>
      <c r="F161" s="194">
        <f t="shared" si="20"/>
        <v>0</v>
      </c>
      <c r="BA161" s="224"/>
      <c r="BB161" s="262"/>
    </row>
    <row r="162" spans="2:54" x14ac:dyDescent="0.3">
      <c r="B162" s="221" t="s">
        <v>337</v>
      </c>
      <c r="C162" s="230"/>
      <c r="D162" s="168" t="s">
        <v>150</v>
      </c>
      <c r="E162" s="232">
        <v>75000</v>
      </c>
      <c r="F162" s="194">
        <f t="shared" si="20"/>
        <v>0</v>
      </c>
      <c r="BA162" s="224"/>
      <c r="BB162" s="262"/>
    </row>
    <row r="163" spans="2:54" ht="33" x14ac:dyDescent="0.3">
      <c r="B163" s="221" t="s">
        <v>338</v>
      </c>
      <c r="C163" s="230"/>
      <c r="D163" s="168" t="s">
        <v>150</v>
      </c>
      <c r="E163" s="232">
        <v>300000</v>
      </c>
      <c r="F163" s="194">
        <f>E163*C163</f>
        <v>0</v>
      </c>
      <c r="BA163" s="224"/>
      <c r="BB163" s="262"/>
    </row>
    <row r="164" spans="2:54" x14ac:dyDescent="0.3">
      <c r="B164" s="221"/>
      <c r="C164" s="230"/>
      <c r="E164" s="231"/>
      <c r="F164" s="194"/>
      <c r="BA164" s="224"/>
      <c r="BB164" s="262"/>
    </row>
    <row r="165" spans="2:54" x14ac:dyDescent="0.3">
      <c r="B165" s="225" t="s">
        <v>321</v>
      </c>
      <c r="C165" s="226"/>
      <c r="D165" s="227"/>
      <c r="E165" s="233"/>
      <c r="F165" s="234"/>
      <c r="G165" s="229"/>
      <c r="H165" s="229"/>
      <c r="I165" s="229"/>
      <c r="J165" s="229"/>
      <c r="K165" s="229"/>
      <c r="L165" s="229"/>
      <c r="M165" s="229"/>
      <c r="N165" s="229"/>
      <c r="O165" s="229"/>
      <c r="P165" s="229"/>
      <c r="Q165" s="229"/>
      <c r="R165" s="229"/>
      <c r="S165" s="229"/>
      <c r="T165" s="229"/>
      <c r="U165" s="229"/>
      <c r="V165" s="229"/>
      <c r="W165" s="229"/>
      <c r="X165" s="229"/>
      <c r="Y165" s="229"/>
      <c r="Z165" s="229"/>
      <c r="AA165" s="229"/>
      <c r="AB165" s="229"/>
      <c r="AC165" s="229"/>
      <c r="AD165" s="229"/>
      <c r="AE165" s="229"/>
      <c r="AF165" s="229"/>
      <c r="AG165" s="229"/>
      <c r="AH165" s="229"/>
      <c r="AI165" s="229"/>
      <c r="AJ165" s="229"/>
      <c r="AK165" s="229"/>
      <c r="AL165" s="229"/>
      <c r="AM165" s="229"/>
      <c r="AN165" s="229"/>
      <c r="AO165" s="229"/>
      <c r="AP165" s="229"/>
      <c r="AQ165" s="229"/>
      <c r="AR165" s="229"/>
      <c r="AS165" s="229"/>
      <c r="AT165" s="229"/>
      <c r="AU165" s="229"/>
      <c r="AV165" s="229"/>
      <c r="AW165" s="229"/>
      <c r="AX165" s="229"/>
      <c r="AY165" s="229"/>
      <c r="BA165" s="224"/>
    </row>
    <row r="166" spans="2:54" x14ac:dyDescent="0.3">
      <c r="B166" s="221" t="s">
        <v>339</v>
      </c>
      <c r="C166" s="230">
        <v>138193</v>
      </c>
      <c r="D166" s="168" t="s">
        <v>316</v>
      </c>
      <c r="E166" s="231"/>
      <c r="F166" s="194">
        <f t="shared" ref="F166:F169" si="21">E166*C166</f>
        <v>0</v>
      </c>
      <c r="BA166" s="224"/>
    </row>
    <row r="167" spans="2:54" x14ac:dyDescent="0.3">
      <c r="B167" s="236" t="s">
        <v>333</v>
      </c>
      <c r="C167" s="230">
        <f>C166*0.25</f>
        <v>34548.25</v>
      </c>
      <c r="D167" s="168" t="s">
        <v>316</v>
      </c>
      <c r="E167" s="232">
        <v>450</v>
      </c>
      <c r="F167" s="194">
        <f t="shared" si="21"/>
        <v>15546712.5</v>
      </c>
      <c r="BA167" s="224"/>
    </row>
    <row r="168" spans="2:54" x14ac:dyDescent="0.3">
      <c r="B168" s="236" t="s">
        <v>334</v>
      </c>
      <c r="C168" s="230">
        <f>C166*0.75</f>
        <v>103644.75</v>
      </c>
      <c r="D168" s="168" t="s">
        <v>316</v>
      </c>
      <c r="E168" s="232">
        <v>250</v>
      </c>
      <c r="F168" s="194">
        <f t="shared" si="21"/>
        <v>25911187.5</v>
      </c>
      <c r="BA168" s="224"/>
    </row>
    <row r="169" spans="2:54" x14ac:dyDescent="0.3">
      <c r="B169" s="236"/>
      <c r="C169" s="230"/>
      <c r="D169" s="168" t="s">
        <v>316</v>
      </c>
      <c r="E169" s="232">
        <v>400</v>
      </c>
      <c r="F169" s="194">
        <f t="shared" si="21"/>
        <v>0</v>
      </c>
      <c r="BA169" s="224"/>
    </row>
    <row r="170" spans="2:54" x14ac:dyDescent="0.3">
      <c r="B170" s="263" t="s">
        <v>341</v>
      </c>
      <c r="C170" s="230">
        <v>1</v>
      </c>
      <c r="D170" s="168" t="s">
        <v>150</v>
      </c>
      <c r="E170" s="232">
        <v>100000</v>
      </c>
      <c r="F170" s="264" t="s">
        <v>342</v>
      </c>
      <c r="BA170" s="224"/>
    </row>
    <row r="171" spans="2:54" x14ac:dyDescent="0.3">
      <c r="B171" s="265" t="s">
        <v>343</v>
      </c>
      <c r="C171" s="230">
        <v>1</v>
      </c>
      <c r="D171" s="168" t="s">
        <v>150</v>
      </c>
      <c r="E171" s="232">
        <v>1000000</v>
      </c>
      <c r="F171" s="264" t="s">
        <v>342</v>
      </c>
      <c r="BA171" s="224"/>
    </row>
    <row r="172" spans="2:54" ht="30" x14ac:dyDescent="0.3">
      <c r="B172" s="235" t="s">
        <v>344</v>
      </c>
      <c r="C172" s="230">
        <v>1</v>
      </c>
      <c r="D172" s="168" t="s">
        <v>150</v>
      </c>
      <c r="E172" s="232">
        <f>7500000/2</f>
        <v>3750000</v>
      </c>
      <c r="F172" s="194">
        <f t="shared" ref="F172" si="22">E172*C172</f>
        <v>3750000</v>
      </c>
      <c r="BA172" s="224"/>
    </row>
    <row r="173" spans="2:54" outlineLevel="1" x14ac:dyDescent="0.3">
      <c r="B173" s="221" t="s">
        <v>326</v>
      </c>
      <c r="C173" s="230">
        <v>1</v>
      </c>
      <c r="D173" s="168" t="s">
        <v>150</v>
      </c>
      <c r="E173" s="232">
        <f>6500000/3</f>
        <v>2166666.6666666665</v>
      </c>
      <c r="F173" s="194"/>
      <c r="BA173" s="224"/>
    </row>
    <row r="174" spans="2:54" outlineLevel="1" x14ac:dyDescent="0.3">
      <c r="B174" s="221" t="s">
        <v>345</v>
      </c>
      <c r="C174" s="230">
        <v>65000</v>
      </c>
      <c r="D174" s="168" t="s">
        <v>316</v>
      </c>
      <c r="E174" s="231">
        <v>12</v>
      </c>
      <c r="F174" s="194"/>
      <c r="BA174" s="224"/>
    </row>
    <row r="175" spans="2:54" outlineLevel="1" x14ac:dyDescent="0.3">
      <c r="B175" s="221"/>
      <c r="C175" s="230"/>
      <c r="E175" s="231"/>
      <c r="F175" s="194"/>
      <c r="BA175" s="224"/>
    </row>
    <row r="176" spans="2:54" x14ac:dyDescent="0.3">
      <c r="B176" s="221"/>
      <c r="C176" s="230"/>
      <c r="E176" s="231"/>
      <c r="F176" s="194"/>
      <c r="BA176" s="224"/>
    </row>
    <row r="177" spans="2:53" ht="26.25" thickBot="1" x14ac:dyDescent="0.4">
      <c r="B177" s="238" t="s">
        <v>328</v>
      </c>
      <c r="C177" s="239"/>
      <c r="D177" s="240"/>
      <c r="E177" s="241"/>
      <c r="F177" s="242">
        <f>SUM(F159:F176)</f>
        <v>45207900</v>
      </c>
      <c r="G177" s="243">
        <f>$F177*G$7</f>
        <v>2260395</v>
      </c>
      <c r="H177" s="243">
        <f t="shared" ref="H177:O177" si="23">$F177*H$7</f>
        <v>1356237</v>
      </c>
      <c r="I177" s="243">
        <f t="shared" si="23"/>
        <v>452079</v>
      </c>
      <c r="J177" s="243">
        <f t="shared" si="23"/>
        <v>40687.11</v>
      </c>
      <c r="K177" s="243">
        <f t="shared" si="23"/>
        <v>310521.45006733685</v>
      </c>
      <c r="L177" s="243">
        <f t="shared" si="23"/>
        <v>310521.45006733685</v>
      </c>
      <c r="M177" s="243">
        <f t="shared" si="23"/>
        <v>452079</v>
      </c>
      <c r="N177" s="243">
        <f t="shared" si="23"/>
        <v>1356237</v>
      </c>
      <c r="O177" s="243">
        <f t="shared" si="23"/>
        <v>1808316</v>
      </c>
      <c r="P177" s="244"/>
      <c r="Q177" s="243"/>
      <c r="R177" s="243"/>
      <c r="S177" s="245"/>
      <c r="T177" s="246">
        <f>F177+P177+S177</f>
        <v>45207900</v>
      </c>
      <c r="U177" s="243">
        <f>$T177*U$7</f>
        <v>2486434.5</v>
      </c>
      <c r="V177" s="243">
        <f>$T177*V$7</f>
        <v>904158</v>
      </c>
      <c r="W177" s="243">
        <v>5000</v>
      </c>
      <c r="X177" s="243">
        <v>2500</v>
      </c>
      <c r="Y177" s="243">
        <v>5000</v>
      </c>
      <c r="Z177" s="243">
        <v>2500</v>
      </c>
      <c r="AA177" s="243">
        <v>2500</v>
      </c>
      <c r="AB177" s="243">
        <f>$T177*AB$7</f>
        <v>22603.95</v>
      </c>
      <c r="AC177" s="243">
        <f>$T177*AC$7</f>
        <v>90415.8</v>
      </c>
      <c r="AD177" s="243">
        <v>9604</v>
      </c>
      <c r="AE177" s="243">
        <v>20250</v>
      </c>
      <c r="AF177" s="247">
        <v>0</v>
      </c>
      <c r="AG177" s="247">
        <v>0</v>
      </c>
      <c r="AH177" s="247">
        <v>0</v>
      </c>
      <c r="AI177" s="243">
        <f>$T177*AI$7</f>
        <v>90415.8</v>
      </c>
      <c r="AJ177" s="243">
        <v>2000</v>
      </c>
      <c r="AK177" s="243">
        <f>$T177*AK$7</f>
        <v>9041.58</v>
      </c>
      <c r="AL177" s="243">
        <f>$T177*AL$7</f>
        <v>135623.70000000001</v>
      </c>
      <c r="AM177" s="247">
        <v>0</v>
      </c>
      <c r="AN177" s="247">
        <v>0</v>
      </c>
      <c r="AO177" s="247">
        <v>0</v>
      </c>
      <c r="AP177" s="243">
        <f>$T177*AP$7</f>
        <v>904158</v>
      </c>
      <c r="AQ177" s="243">
        <v>2000</v>
      </c>
      <c r="AR177" s="243">
        <v>2000</v>
      </c>
      <c r="AS177" s="243">
        <f>$T177*AS$7</f>
        <v>90415.8</v>
      </c>
      <c r="AT177" s="247">
        <v>0</v>
      </c>
      <c r="AU177" s="243">
        <f>$T177*AU$7</f>
        <v>678118.5</v>
      </c>
      <c r="AV177" s="243">
        <f>$T177*AV$7</f>
        <v>1808316</v>
      </c>
      <c r="AW177" s="248">
        <f>SUM(U177:AV177)</f>
        <v>7273055.6299999999</v>
      </c>
      <c r="AX177" s="249">
        <f>(F177+P177+S177+AW177)*AY177*AZ177</f>
        <v>18893144.026800003</v>
      </c>
      <c r="AY177" s="250">
        <v>3</v>
      </c>
      <c r="AZ177" s="251">
        <v>0.12</v>
      </c>
      <c r="BA177" s="252">
        <f>F177+P177+S177+AW177+AX177</f>
        <v>71374099.656800002</v>
      </c>
    </row>
    <row r="178" spans="2:53" ht="17.25" thickBot="1" x14ac:dyDescent="0.35">
      <c r="B178" s="253"/>
      <c r="C178" s="230"/>
      <c r="E178" s="231"/>
      <c r="F178" s="194">
        <f>F177/$C$95</f>
        <v>201.00082698275784</v>
      </c>
      <c r="P178" s="170">
        <f>P177/$C$95</f>
        <v>0</v>
      </c>
      <c r="S178" s="170">
        <f>S177/$C$95</f>
        <v>0</v>
      </c>
      <c r="AW178" s="170">
        <f>AW177/$C$95</f>
        <v>32.337051628622497</v>
      </c>
      <c r="AX178" s="170">
        <f>AX177/$C$95</f>
        <v>84.001636300096933</v>
      </c>
      <c r="BA178" s="170">
        <f>BA177/$C$95</f>
        <v>317.33951491147729</v>
      </c>
    </row>
    <row r="179" spans="2:53" ht="28.5" x14ac:dyDescent="0.3">
      <c r="B179" s="266" t="s">
        <v>349</v>
      </c>
      <c r="C179" s="267">
        <v>393000</v>
      </c>
      <c r="D179" s="268"/>
      <c r="E179" s="269"/>
      <c r="F179" s="270"/>
      <c r="G179" s="271"/>
      <c r="H179" s="271"/>
      <c r="I179" s="271"/>
      <c r="J179" s="271"/>
      <c r="K179" s="271"/>
      <c r="L179" s="271"/>
      <c r="M179" s="271"/>
      <c r="N179" s="271"/>
      <c r="O179" s="271"/>
      <c r="P179" s="271"/>
      <c r="Q179" s="271"/>
      <c r="R179" s="271"/>
      <c r="S179" s="271"/>
      <c r="T179" s="271"/>
      <c r="U179" s="271"/>
      <c r="V179" s="271"/>
      <c r="W179" s="271"/>
      <c r="X179" s="271"/>
      <c r="Y179" s="271"/>
      <c r="Z179" s="271"/>
      <c r="AA179" s="271"/>
      <c r="AB179" s="271"/>
      <c r="AC179" s="271"/>
      <c r="AD179" s="271"/>
      <c r="AE179" s="271"/>
      <c r="AF179" s="271"/>
      <c r="AG179" s="271"/>
      <c r="AH179" s="271"/>
      <c r="AI179" s="271"/>
      <c r="AJ179" s="271"/>
      <c r="AK179" s="271"/>
      <c r="AL179" s="271"/>
      <c r="AM179" s="271"/>
      <c r="AN179" s="271"/>
      <c r="AO179" s="271"/>
      <c r="AP179" s="271"/>
      <c r="AQ179" s="271"/>
      <c r="AR179" s="271"/>
      <c r="AS179" s="271"/>
      <c r="AT179" s="271"/>
      <c r="AU179" s="271"/>
      <c r="AV179" s="271"/>
      <c r="AW179" s="271"/>
      <c r="AX179" s="271"/>
      <c r="AY179" s="271"/>
      <c r="AZ179" s="272"/>
      <c r="BA179" s="261"/>
    </row>
    <row r="180" spans="2:53" ht="4.5" customHeight="1" x14ac:dyDescent="0.3">
      <c r="B180" s="221"/>
      <c r="C180" s="230"/>
      <c r="E180" s="231"/>
      <c r="F180" s="194"/>
      <c r="BA180" s="224"/>
    </row>
    <row r="181" spans="2:53" x14ac:dyDescent="0.3">
      <c r="B181" s="225" t="s">
        <v>317</v>
      </c>
      <c r="C181" s="226"/>
      <c r="D181" s="227"/>
      <c r="E181" s="233"/>
      <c r="F181" s="234"/>
      <c r="G181" s="229"/>
      <c r="H181" s="229"/>
      <c r="I181" s="229"/>
      <c r="J181" s="229"/>
      <c r="K181" s="229"/>
      <c r="L181" s="229"/>
      <c r="M181" s="229"/>
      <c r="N181" s="229"/>
      <c r="O181" s="229"/>
      <c r="P181" s="229"/>
      <c r="Q181" s="229"/>
      <c r="R181" s="229"/>
      <c r="S181" s="229"/>
      <c r="T181" s="229"/>
      <c r="U181" s="229"/>
      <c r="V181" s="229"/>
      <c r="W181" s="229"/>
      <c r="X181" s="229"/>
      <c r="Y181" s="229"/>
      <c r="Z181" s="229"/>
      <c r="AA181" s="229"/>
      <c r="AB181" s="229"/>
      <c r="AC181" s="229"/>
      <c r="AD181" s="229"/>
      <c r="AE181" s="229"/>
      <c r="AF181" s="229"/>
      <c r="AG181" s="229"/>
      <c r="AH181" s="229"/>
      <c r="AI181" s="229"/>
      <c r="AJ181" s="229"/>
      <c r="AK181" s="229"/>
      <c r="AL181" s="229"/>
      <c r="AM181" s="229"/>
      <c r="AN181" s="229"/>
      <c r="AO181" s="229"/>
      <c r="AP181" s="229"/>
      <c r="AQ181" s="229"/>
      <c r="AR181" s="229"/>
      <c r="AS181" s="229"/>
      <c r="AT181" s="229"/>
      <c r="AU181" s="229"/>
      <c r="AV181" s="229"/>
      <c r="AW181" s="229"/>
      <c r="AX181" s="229"/>
      <c r="AY181" s="229"/>
      <c r="BA181" s="224"/>
    </row>
    <row r="182" spans="2:53" x14ac:dyDescent="0.3">
      <c r="B182" s="221" t="s">
        <v>318</v>
      </c>
      <c r="C182" s="230">
        <v>284000</v>
      </c>
      <c r="D182" s="168" t="s">
        <v>316</v>
      </c>
      <c r="E182" s="231">
        <v>8</v>
      </c>
      <c r="F182" s="194">
        <f t="shared" ref="F182:F185" si="24">E182*C182</f>
        <v>2272000</v>
      </c>
      <c r="BA182" s="224"/>
    </row>
    <row r="183" spans="2:53" x14ac:dyDescent="0.3">
      <c r="B183" s="221" t="s">
        <v>319</v>
      </c>
      <c r="C183" s="230">
        <v>250000</v>
      </c>
      <c r="D183" s="168" t="s">
        <v>316</v>
      </c>
      <c r="E183" s="231">
        <v>2</v>
      </c>
      <c r="F183" s="194">
        <f t="shared" si="24"/>
        <v>500000</v>
      </c>
      <c r="BA183" s="224"/>
    </row>
    <row r="184" spans="2:53" ht="33" x14ac:dyDescent="0.3">
      <c r="B184" s="221" t="s">
        <v>336</v>
      </c>
      <c r="C184" s="230">
        <v>25000</v>
      </c>
      <c r="D184" s="168" t="s">
        <v>316</v>
      </c>
      <c r="E184" s="231">
        <v>1.5</v>
      </c>
      <c r="F184" s="194">
        <f t="shared" si="24"/>
        <v>37500</v>
      </c>
      <c r="BA184" s="224"/>
    </row>
    <row r="185" spans="2:53" x14ac:dyDescent="0.3">
      <c r="B185" s="221" t="s">
        <v>337</v>
      </c>
      <c r="C185" s="230">
        <v>1</v>
      </c>
      <c r="D185" s="168" t="s">
        <v>150</v>
      </c>
      <c r="E185" s="232">
        <v>75000</v>
      </c>
      <c r="F185" s="194">
        <f t="shared" si="24"/>
        <v>75000</v>
      </c>
      <c r="BA185" s="224"/>
    </row>
    <row r="186" spans="2:53" ht="33" x14ac:dyDescent="0.3">
      <c r="B186" s="221" t="s">
        <v>350</v>
      </c>
      <c r="C186" s="230">
        <v>1</v>
      </c>
      <c r="D186" s="168" t="s">
        <v>150</v>
      </c>
      <c r="E186" s="232">
        <v>300000</v>
      </c>
      <c r="F186" s="194">
        <f>E186*C186</f>
        <v>300000</v>
      </c>
      <c r="BA186" s="224"/>
    </row>
    <row r="187" spans="2:53" x14ac:dyDescent="0.3">
      <c r="B187" s="221"/>
      <c r="C187" s="230"/>
      <c r="E187" s="231"/>
      <c r="F187" s="194"/>
      <c r="BA187" s="224"/>
    </row>
    <row r="188" spans="2:53" x14ac:dyDescent="0.3">
      <c r="B188" s="225" t="s">
        <v>321</v>
      </c>
      <c r="C188" s="226"/>
      <c r="D188" s="227"/>
      <c r="E188" s="233"/>
      <c r="F188" s="234"/>
      <c r="G188" s="229"/>
      <c r="H188" s="229"/>
      <c r="I188" s="229"/>
      <c r="J188" s="229"/>
      <c r="K188" s="229"/>
      <c r="L188" s="229"/>
      <c r="M188" s="229"/>
      <c r="N188" s="229"/>
      <c r="O188" s="229"/>
      <c r="P188" s="229"/>
      <c r="Q188" s="229"/>
      <c r="R188" s="229"/>
      <c r="S188" s="229"/>
      <c r="T188" s="229"/>
      <c r="U188" s="229"/>
      <c r="V188" s="229"/>
      <c r="W188" s="229"/>
      <c r="X188" s="229"/>
      <c r="Y188" s="229"/>
      <c r="Z188" s="229"/>
      <c r="AA188" s="229"/>
      <c r="AB188" s="229"/>
      <c r="AC188" s="229"/>
      <c r="AD188" s="229"/>
      <c r="AE188" s="229"/>
      <c r="AF188" s="229"/>
      <c r="AG188" s="229"/>
      <c r="AH188" s="229"/>
      <c r="AI188" s="229"/>
      <c r="AJ188" s="229"/>
      <c r="AK188" s="229"/>
      <c r="AL188" s="229"/>
      <c r="AM188" s="229"/>
      <c r="AN188" s="229"/>
      <c r="AO188" s="229"/>
      <c r="AP188" s="229"/>
      <c r="AQ188" s="229"/>
      <c r="AR188" s="229"/>
      <c r="AS188" s="229"/>
      <c r="AT188" s="229"/>
      <c r="AU188" s="229"/>
      <c r="AV188" s="229"/>
      <c r="AW188" s="229"/>
      <c r="AX188" s="229"/>
      <c r="AY188" s="229"/>
      <c r="BA188" s="224"/>
    </row>
    <row r="189" spans="2:53" x14ac:dyDescent="0.3">
      <c r="B189" s="221" t="s">
        <v>351</v>
      </c>
      <c r="C189" s="230">
        <v>393000</v>
      </c>
      <c r="D189" s="168" t="s">
        <v>316</v>
      </c>
      <c r="E189" s="232"/>
      <c r="F189" s="194">
        <f t="shared" ref="F189:F196" si="25">E189*C189</f>
        <v>0</v>
      </c>
      <c r="BA189" s="224"/>
    </row>
    <row r="190" spans="2:53" x14ac:dyDescent="0.3">
      <c r="B190" s="236" t="s">
        <v>323</v>
      </c>
      <c r="C190" s="230">
        <f>C189/2</f>
        <v>196500</v>
      </c>
      <c r="D190" s="168" t="s">
        <v>316</v>
      </c>
      <c r="E190" s="232">
        <v>425</v>
      </c>
      <c r="F190" s="194">
        <f t="shared" si="25"/>
        <v>83512500</v>
      </c>
      <c r="BA190" s="224"/>
    </row>
    <row r="191" spans="2:53" x14ac:dyDescent="0.3">
      <c r="B191" s="236" t="s">
        <v>324</v>
      </c>
      <c r="C191" s="230">
        <f>C189*0.25</f>
        <v>98250</v>
      </c>
      <c r="D191" s="168" t="s">
        <v>316</v>
      </c>
      <c r="E191" s="232">
        <v>400</v>
      </c>
      <c r="F191" s="194">
        <f t="shared" si="25"/>
        <v>39300000</v>
      </c>
      <c r="BA191" s="224"/>
    </row>
    <row r="192" spans="2:53" x14ac:dyDescent="0.3">
      <c r="B192" s="236" t="s">
        <v>340</v>
      </c>
      <c r="C192" s="230">
        <f>C189*0.25</f>
        <v>98250</v>
      </c>
      <c r="D192" s="168" t="s">
        <v>316</v>
      </c>
      <c r="E192" s="232">
        <v>400</v>
      </c>
      <c r="F192" s="194">
        <f t="shared" si="25"/>
        <v>39300000</v>
      </c>
      <c r="BA192" s="224"/>
    </row>
    <row r="193" spans="2:53" x14ac:dyDescent="0.3">
      <c r="B193" s="263" t="s">
        <v>352</v>
      </c>
      <c r="C193" s="230">
        <v>1</v>
      </c>
      <c r="D193" s="168" t="s">
        <v>150</v>
      </c>
      <c r="E193" s="232"/>
      <c r="F193" s="264" t="s">
        <v>342</v>
      </c>
      <c r="BA193" s="224"/>
    </row>
    <row r="194" spans="2:53" x14ac:dyDescent="0.3">
      <c r="B194" s="265" t="s">
        <v>343</v>
      </c>
      <c r="C194" s="230">
        <v>1</v>
      </c>
      <c r="D194" s="168" t="s">
        <v>150</v>
      </c>
      <c r="E194" s="232"/>
      <c r="F194" s="264" t="s">
        <v>342</v>
      </c>
      <c r="BA194" s="224"/>
    </row>
    <row r="195" spans="2:53" x14ac:dyDescent="0.3">
      <c r="B195" s="221" t="s">
        <v>353</v>
      </c>
      <c r="C195" s="230">
        <v>1</v>
      </c>
      <c r="D195" s="168" t="s">
        <v>150</v>
      </c>
      <c r="E195" s="232"/>
      <c r="F195" s="264" t="s">
        <v>342</v>
      </c>
      <c r="BA195" s="224"/>
    </row>
    <row r="196" spans="2:53" ht="30" x14ac:dyDescent="0.3">
      <c r="B196" s="235" t="s">
        <v>354</v>
      </c>
      <c r="C196" s="230">
        <v>1</v>
      </c>
      <c r="D196" s="168" t="s">
        <v>150</v>
      </c>
      <c r="E196" s="232">
        <v>12500000</v>
      </c>
      <c r="F196" s="194">
        <f t="shared" si="25"/>
        <v>12500000</v>
      </c>
      <c r="BA196" s="224"/>
    </row>
    <row r="197" spans="2:53" outlineLevel="1" x14ac:dyDescent="0.3">
      <c r="B197" s="221" t="s">
        <v>326</v>
      </c>
      <c r="C197" s="230">
        <v>1</v>
      </c>
      <c r="D197" s="168" t="s">
        <v>150</v>
      </c>
      <c r="E197" s="232">
        <v>9500000</v>
      </c>
      <c r="F197" s="194"/>
      <c r="BA197" s="224"/>
    </row>
    <row r="198" spans="2:53" outlineLevel="1" x14ac:dyDescent="0.3">
      <c r="B198" s="221" t="s">
        <v>355</v>
      </c>
      <c r="C198" s="230">
        <v>250000</v>
      </c>
      <c r="D198" s="168" t="s">
        <v>316</v>
      </c>
      <c r="E198" s="231">
        <v>12</v>
      </c>
      <c r="F198" s="194"/>
      <c r="BA198" s="224"/>
    </row>
    <row r="199" spans="2:53" x14ac:dyDescent="0.3">
      <c r="B199" s="221"/>
      <c r="C199" s="230"/>
      <c r="E199" s="232"/>
      <c r="F199" s="194"/>
      <c r="BA199" s="224"/>
    </row>
    <row r="200" spans="2:53" ht="26.25" thickBot="1" x14ac:dyDescent="0.4">
      <c r="B200" s="238" t="s">
        <v>328</v>
      </c>
      <c r="C200" s="239"/>
      <c r="D200" s="240"/>
      <c r="E200" s="241"/>
      <c r="F200" s="242">
        <f>SUM(F181:F199)</f>
        <v>177797000</v>
      </c>
      <c r="G200" s="243">
        <f>$F200*G$7</f>
        <v>8889850</v>
      </c>
      <c r="H200" s="243">
        <f t="shared" ref="H200:O200" si="26">$F200*H$7</f>
        <v>5333910</v>
      </c>
      <c r="I200" s="243">
        <f t="shared" si="26"/>
        <v>1777970</v>
      </c>
      <c r="J200" s="243">
        <f t="shared" si="26"/>
        <v>160017.29999999999</v>
      </c>
      <c r="K200" s="243">
        <f t="shared" si="26"/>
        <v>1221241.9125334797</v>
      </c>
      <c r="L200" s="243">
        <f t="shared" si="26"/>
        <v>1221241.9125334797</v>
      </c>
      <c r="M200" s="243">
        <f t="shared" si="26"/>
        <v>1777970</v>
      </c>
      <c r="N200" s="243">
        <f t="shared" si="26"/>
        <v>5333910</v>
      </c>
      <c r="O200" s="243">
        <f t="shared" si="26"/>
        <v>7111880</v>
      </c>
      <c r="P200" s="244"/>
      <c r="Q200" s="243"/>
      <c r="R200" s="243"/>
      <c r="S200" s="245"/>
      <c r="T200" s="246">
        <f>F200+P200+S200</f>
        <v>177797000</v>
      </c>
      <c r="U200" s="243">
        <f>$T200*U$7</f>
        <v>9778835</v>
      </c>
      <c r="V200" s="243">
        <f>$T200*V$7</f>
        <v>3555940</v>
      </c>
      <c r="W200" s="243">
        <v>5000</v>
      </c>
      <c r="X200" s="243">
        <v>2500</v>
      </c>
      <c r="Y200" s="243">
        <v>5000</v>
      </c>
      <c r="Z200" s="243">
        <v>2500</v>
      </c>
      <c r="AA200" s="243">
        <v>2500</v>
      </c>
      <c r="AB200" s="243">
        <f>$T200*AB$7</f>
        <v>88898.5</v>
      </c>
      <c r="AC200" s="243">
        <f>$T200*AC$7</f>
        <v>355594</v>
      </c>
      <c r="AD200" s="243">
        <v>9604</v>
      </c>
      <c r="AE200" s="243">
        <v>20250</v>
      </c>
      <c r="AF200" s="247">
        <v>0</v>
      </c>
      <c r="AG200" s="247">
        <v>0</v>
      </c>
      <c r="AH200" s="247">
        <v>0</v>
      </c>
      <c r="AI200" s="243">
        <f>$T200*AI$7</f>
        <v>355594</v>
      </c>
      <c r="AJ200" s="243">
        <v>2000</v>
      </c>
      <c r="AK200" s="243">
        <f>$T200*AK$7</f>
        <v>35559.4</v>
      </c>
      <c r="AL200" s="243">
        <f>$T200*AL$7</f>
        <v>533391</v>
      </c>
      <c r="AM200" s="247">
        <v>0</v>
      </c>
      <c r="AN200" s="247">
        <v>0</v>
      </c>
      <c r="AO200" s="247">
        <v>0</v>
      </c>
      <c r="AP200" s="243">
        <f>$T200*AP$7</f>
        <v>3555940</v>
      </c>
      <c r="AQ200" s="243">
        <v>2000</v>
      </c>
      <c r="AR200" s="243">
        <v>2000</v>
      </c>
      <c r="AS200" s="243">
        <f>$T200*AS$7</f>
        <v>355594</v>
      </c>
      <c r="AT200" s="247">
        <v>0</v>
      </c>
      <c r="AU200" s="243">
        <f>$T200*AU$7</f>
        <v>2666955</v>
      </c>
      <c r="AV200" s="243">
        <f>$T200*AV$7</f>
        <v>7111880</v>
      </c>
      <c r="AW200" s="248">
        <f>SUM(U200:AV200)</f>
        <v>28447534.899999999</v>
      </c>
      <c r="AX200" s="249">
        <f>(F200+P200+S200+AW200)*AY200*AZ200</f>
        <v>74248032.563999996</v>
      </c>
      <c r="AY200" s="250">
        <v>3</v>
      </c>
      <c r="AZ200" s="251">
        <v>0.12</v>
      </c>
      <c r="BA200" s="252">
        <f>F200+P200+S200+AW200+AX200</f>
        <v>280492567.46399999</v>
      </c>
    </row>
    <row r="201" spans="2:53" x14ac:dyDescent="0.3">
      <c r="C201" s="230"/>
      <c r="E201" s="231"/>
      <c r="F201" s="194">
        <f>F200/$C$189</f>
        <v>452.40966921119593</v>
      </c>
      <c r="P201" s="170">
        <f>P200/$C$189</f>
        <v>0</v>
      </c>
      <c r="S201" s="170">
        <f>S200/$C$189</f>
        <v>0</v>
      </c>
      <c r="AW201" s="170">
        <f>AW200/$C$189</f>
        <v>72.385584987277355</v>
      </c>
      <c r="AX201" s="170">
        <f>AX200/$C$189</f>
        <v>188.92629151145036</v>
      </c>
      <c r="BA201" s="170">
        <f>BA200/$C$189</f>
        <v>713.72154570992359</v>
      </c>
    </row>
    <row r="202" spans="2:53" ht="17.25" thickBot="1" x14ac:dyDescent="0.35">
      <c r="C202" s="230"/>
      <c r="E202" s="231"/>
      <c r="F202" s="194"/>
      <c r="P202" s="170">
        <f>P201+F201</f>
        <v>452.40966921119593</v>
      </c>
    </row>
    <row r="203" spans="2:53" ht="28.5" x14ac:dyDescent="0.3">
      <c r="B203" s="266" t="s">
        <v>356</v>
      </c>
      <c r="C203" s="267">
        <v>393000</v>
      </c>
      <c r="D203" s="268"/>
      <c r="E203" s="269"/>
      <c r="F203" s="270"/>
      <c r="G203" s="271"/>
      <c r="H203" s="271"/>
      <c r="I203" s="271"/>
      <c r="J203" s="271"/>
      <c r="K203" s="271"/>
      <c r="L203" s="271"/>
      <c r="M203" s="271"/>
      <c r="N203" s="271"/>
      <c r="O203" s="271"/>
      <c r="P203" s="271"/>
      <c r="Q203" s="271"/>
      <c r="R203" s="271"/>
      <c r="S203" s="271"/>
      <c r="T203" s="271"/>
      <c r="U203" s="271"/>
      <c r="V203" s="271"/>
      <c r="W203" s="271"/>
      <c r="X203" s="271"/>
      <c r="Y203" s="271"/>
      <c r="Z203" s="271"/>
      <c r="AA203" s="271"/>
      <c r="AB203" s="271"/>
      <c r="AC203" s="271"/>
      <c r="AD203" s="271"/>
      <c r="AE203" s="271"/>
      <c r="AF203" s="271"/>
      <c r="AG203" s="271"/>
      <c r="AH203" s="271"/>
      <c r="AI203" s="271"/>
      <c r="AJ203" s="271"/>
      <c r="AK203" s="271"/>
      <c r="AL203" s="271"/>
      <c r="AM203" s="271"/>
      <c r="AN203" s="271"/>
      <c r="AO203" s="271"/>
      <c r="AP203" s="271"/>
      <c r="AQ203" s="271"/>
      <c r="AR203" s="271"/>
      <c r="AS203" s="271"/>
      <c r="AT203" s="271"/>
      <c r="AU203" s="271"/>
      <c r="AV203" s="271"/>
      <c r="AW203" s="271"/>
      <c r="AX203" s="271"/>
      <c r="AY203" s="271"/>
      <c r="AZ203" s="272"/>
      <c r="BA203" s="261"/>
    </row>
    <row r="204" spans="2:53" ht="4.5" customHeight="1" x14ac:dyDescent="0.3">
      <c r="B204" s="221"/>
      <c r="C204" s="230"/>
      <c r="E204" s="231"/>
      <c r="F204" s="194"/>
      <c r="BA204" s="224"/>
    </row>
    <row r="205" spans="2:53" x14ac:dyDescent="0.3">
      <c r="B205" s="225" t="s">
        <v>317</v>
      </c>
      <c r="C205" s="226"/>
      <c r="D205" s="227"/>
      <c r="E205" s="233"/>
      <c r="F205" s="234"/>
      <c r="G205" s="229"/>
      <c r="H205" s="229"/>
      <c r="I205" s="229"/>
      <c r="J205" s="229"/>
      <c r="K205" s="229"/>
      <c r="L205" s="229"/>
      <c r="M205" s="229"/>
      <c r="N205" s="229"/>
      <c r="O205" s="229"/>
      <c r="P205" s="229"/>
      <c r="Q205" s="229"/>
      <c r="R205" s="229"/>
      <c r="S205" s="229"/>
      <c r="T205" s="229"/>
      <c r="U205" s="229"/>
      <c r="V205" s="229"/>
      <c r="W205" s="229"/>
      <c r="X205" s="229"/>
      <c r="Y205" s="229"/>
      <c r="Z205" s="229"/>
      <c r="AA205" s="229"/>
      <c r="AB205" s="229"/>
      <c r="AC205" s="229"/>
      <c r="AD205" s="229"/>
      <c r="AE205" s="229"/>
      <c r="AF205" s="229"/>
      <c r="AG205" s="229"/>
      <c r="AH205" s="229"/>
      <c r="AI205" s="229"/>
      <c r="AJ205" s="229"/>
      <c r="AK205" s="229"/>
      <c r="AL205" s="229"/>
      <c r="AM205" s="229"/>
      <c r="AN205" s="229"/>
      <c r="AO205" s="229"/>
      <c r="AP205" s="229"/>
      <c r="AQ205" s="229"/>
      <c r="AR205" s="229"/>
      <c r="AS205" s="229"/>
      <c r="AT205" s="229"/>
      <c r="AU205" s="229"/>
      <c r="AV205" s="229"/>
      <c r="AW205" s="229"/>
      <c r="AX205" s="229"/>
      <c r="AY205" s="229"/>
      <c r="BA205" s="224"/>
    </row>
    <row r="206" spans="2:53" x14ac:dyDescent="0.3">
      <c r="B206" s="221" t="s">
        <v>318</v>
      </c>
      <c r="C206" s="230"/>
      <c r="D206" s="168" t="s">
        <v>316</v>
      </c>
      <c r="E206" s="231">
        <v>8</v>
      </c>
      <c r="F206" s="194">
        <f t="shared" ref="F206:F209" si="27">E206*C206</f>
        <v>0</v>
      </c>
      <c r="BA206" s="224"/>
    </row>
    <row r="207" spans="2:53" x14ac:dyDescent="0.3">
      <c r="B207" s="221" t="s">
        <v>319</v>
      </c>
      <c r="C207" s="230"/>
      <c r="D207" s="168" t="s">
        <v>316</v>
      </c>
      <c r="E207" s="231">
        <v>2</v>
      </c>
      <c r="F207" s="194">
        <f t="shared" si="27"/>
        <v>0</v>
      </c>
      <c r="BA207" s="224"/>
    </row>
    <row r="208" spans="2:53" ht="33" x14ac:dyDescent="0.3">
      <c r="B208" s="221" t="s">
        <v>336</v>
      </c>
      <c r="C208" s="230"/>
      <c r="D208" s="168" t="s">
        <v>316</v>
      </c>
      <c r="E208" s="231">
        <v>1.5</v>
      </c>
      <c r="F208" s="194">
        <f t="shared" si="27"/>
        <v>0</v>
      </c>
      <c r="BA208" s="224"/>
    </row>
    <row r="209" spans="2:53" x14ac:dyDescent="0.3">
      <c r="B209" s="221" t="s">
        <v>337</v>
      </c>
      <c r="C209" s="230"/>
      <c r="D209" s="168" t="s">
        <v>150</v>
      </c>
      <c r="E209" s="232">
        <v>75000</v>
      </c>
      <c r="F209" s="194">
        <f t="shared" si="27"/>
        <v>0</v>
      </c>
      <c r="BA209" s="224"/>
    </row>
    <row r="210" spans="2:53" ht="33" x14ac:dyDescent="0.3">
      <c r="B210" s="221" t="s">
        <v>350</v>
      </c>
      <c r="C210" s="230"/>
      <c r="D210" s="168" t="s">
        <v>150</v>
      </c>
      <c r="E210" s="232">
        <v>300000</v>
      </c>
      <c r="F210" s="194">
        <f>E210*C210</f>
        <v>0</v>
      </c>
      <c r="BA210" s="224"/>
    </row>
    <row r="211" spans="2:53" x14ac:dyDescent="0.3">
      <c r="B211" s="221"/>
      <c r="C211" s="230"/>
      <c r="E211" s="231"/>
      <c r="F211" s="194"/>
      <c r="BA211" s="224"/>
    </row>
    <row r="212" spans="2:53" x14ac:dyDescent="0.3">
      <c r="B212" s="225" t="s">
        <v>321</v>
      </c>
      <c r="C212" s="226"/>
      <c r="D212" s="227"/>
      <c r="E212" s="233"/>
      <c r="F212" s="234"/>
      <c r="G212" s="229"/>
      <c r="H212" s="229"/>
      <c r="I212" s="229"/>
      <c r="J212" s="229"/>
      <c r="K212" s="229"/>
      <c r="L212" s="229"/>
      <c r="M212" s="229"/>
      <c r="N212" s="229"/>
      <c r="O212" s="229"/>
      <c r="P212" s="229"/>
      <c r="Q212" s="229"/>
      <c r="R212" s="229"/>
      <c r="S212" s="229"/>
      <c r="T212" s="229"/>
      <c r="U212" s="229"/>
      <c r="V212" s="229"/>
      <c r="W212" s="229"/>
      <c r="X212" s="229"/>
      <c r="Y212" s="229"/>
      <c r="Z212" s="229"/>
      <c r="AA212" s="229"/>
      <c r="AB212" s="229"/>
      <c r="AC212" s="229"/>
      <c r="AD212" s="229"/>
      <c r="AE212" s="229"/>
      <c r="AF212" s="229"/>
      <c r="AG212" s="229"/>
      <c r="AH212" s="229"/>
      <c r="AI212" s="229"/>
      <c r="AJ212" s="229"/>
      <c r="AK212" s="229"/>
      <c r="AL212" s="229"/>
      <c r="AM212" s="229"/>
      <c r="AN212" s="229"/>
      <c r="AO212" s="229"/>
      <c r="AP212" s="229"/>
      <c r="AQ212" s="229"/>
      <c r="AR212" s="229"/>
      <c r="AS212" s="229"/>
      <c r="AT212" s="229"/>
      <c r="AU212" s="229"/>
      <c r="AV212" s="229"/>
      <c r="AW212" s="229"/>
      <c r="AX212" s="229"/>
      <c r="AY212" s="229"/>
      <c r="BA212" s="224"/>
    </row>
    <row r="213" spans="2:53" x14ac:dyDescent="0.3">
      <c r="B213" s="221" t="s">
        <v>351</v>
      </c>
      <c r="C213" s="230">
        <v>393000</v>
      </c>
      <c r="D213" s="168" t="s">
        <v>316</v>
      </c>
      <c r="E213" s="232"/>
      <c r="F213" s="194">
        <f t="shared" ref="F213:F216" si="28">E213*C213</f>
        <v>0</v>
      </c>
      <c r="BA213" s="224"/>
    </row>
    <row r="214" spans="2:53" x14ac:dyDescent="0.3">
      <c r="B214" s="236" t="s">
        <v>357</v>
      </c>
      <c r="C214" s="230">
        <f>C213*0.25</f>
        <v>98250</v>
      </c>
      <c r="D214" s="168" t="s">
        <v>316</v>
      </c>
      <c r="E214" s="232">
        <v>425</v>
      </c>
      <c r="F214" s="194">
        <f t="shared" si="28"/>
        <v>41756250</v>
      </c>
      <c r="BA214" s="224"/>
    </row>
    <row r="215" spans="2:53" x14ac:dyDescent="0.3">
      <c r="B215" s="236" t="s">
        <v>334</v>
      </c>
      <c r="C215" s="230">
        <f>C213*0.75</f>
        <v>294750</v>
      </c>
      <c r="D215" s="168" t="s">
        <v>316</v>
      </c>
      <c r="E215" s="232">
        <v>400</v>
      </c>
      <c r="F215" s="194">
        <f t="shared" si="28"/>
        <v>117900000</v>
      </c>
      <c r="BA215" s="224"/>
    </row>
    <row r="216" spans="2:53" x14ac:dyDescent="0.3">
      <c r="B216" s="236"/>
      <c r="C216" s="230"/>
      <c r="D216" s="168" t="s">
        <v>316</v>
      </c>
      <c r="E216" s="232">
        <v>400</v>
      </c>
      <c r="F216" s="194">
        <f t="shared" si="28"/>
        <v>0</v>
      </c>
      <c r="BA216" s="224"/>
    </row>
    <row r="217" spans="2:53" x14ac:dyDescent="0.3">
      <c r="B217" s="263" t="s">
        <v>352</v>
      </c>
      <c r="C217" s="230">
        <v>1</v>
      </c>
      <c r="D217" s="168" t="s">
        <v>150</v>
      </c>
      <c r="E217" s="232"/>
      <c r="F217" s="264" t="s">
        <v>342</v>
      </c>
      <c r="BA217" s="224"/>
    </row>
    <row r="218" spans="2:53" x14ac:dyDescent="0.3">
      <c r="B218" s="265" t="s">
        <v>343</v>
      </c>
      <c r="C218" s="230">
        <v>1</v>
      </c>
      <c r="D218" s="168" t="s">
        <v>150</v>
      </c>
      <c r="E218" s="232"/>
      <c r="F218" s="264" t="s">
        <v>342</v>
      </c>
      <c r="BA218" s="224"/>
    </row>
    <row r="219" spans="2:53" x14ac:dyDescent="0.3">
      <c r="B219" s="221" t="s">
        <v>353</v>
      </c>
      <c r="C219" s="230">
        <v>1</v>
      </c>
      <c r="D219" s="168" t="s">
        <v>150</v>
      </c>
      <c r="E219" s="232"/>
      <c r="F219" s="264" t="s">
        <v>342</v>
      </c>
      <c r="BA219" s="224"/>
    </row>
    <row r="220" spans="2:53" ht="30" x14ac:dyDescent="0.3">
      <c r="B220" s="235" t="s">
        <v>354</v>
      </c>
      <c r="C220" s="230">
        <v>1</v>
      </c>
      <c r="D220" s="168" t="s">
        <v>150</v>
      </c>
      <c r="E220" s="232">
        <f>12500000*0.3</f>
        <v>3750000</v>
      </c>
      <c r="F220" s="194">
        <f t="shared" ref="F220" si="29">E220*C220</f>
        <v>3750000</v>
      </c>
      <c r="BA220" s="224"/>
    </row>
    <row r="221" spans="2:53" outlineLevel="1" x14ac:dyDescent="0.3">
      <c r="B221" s="221" t="s">
        <v>326</v>
      </c>
      <c r="C221" s="230">
        <v>1</v>
      </c>
      <c r="D221" s="168" t="s">
        <v>150</v>
      </c>
      <c r="E221" s="232">
        <f>9500000*0.3</f>
        <v>2850000</v>
      </c>
      <c r="F221" s="194"/>
      <c r="BA221" s="224"/>
    </row>
    <row r="222" spans="2:53" outlineLevel="1" x14ac:dyDescent="0.3">
      <c r="B222" s="221" t="s">
        <v>355</v>
      </c>
      <c r="C222" s="230">
        <v>250000</v>
      </c>
      <c r="D222" s="168" t="s">
        <v>316</v>
      </c>
      <c r="E222" s="231">
        <v>12</v>
      </c>
      <c r="F222" s="194"/>
      <c r="BA222" s="224"/>
    </row>
    <row r="223" spans="2:53" x14ac:dyDescent="0.3">
      <c r="B223" s="221"/>
      <c r="C223" s="230"/>
      <c r="E223" s="232"/>
      <c r="F223" s="194"/>
      <c r="BA223" s="224"/>
    </row>
    <row r="224" spans="2:53" ht="26.25" thickBot="1" x14ac:dyDescent="0.4">
      <c r="B224" s="238" t="s">
        <v>328</v>
      </c>
      <c r="C224" s="239"/>
      <c r="D224" s="240"/>
      <c r="E224" s="241"/>
      <c r="F224" s="242">
        <f>SUM(F205:F223)</f>
        <v>163406250</v>
      </c>
      <c r="G224" s="243">
        <f>$F224*G$7</f>
        <v>8170312.5</v>
      </c>
      <c r="H224" s="243">
        <f t="shared" ref="H224:O224" si="30">$F224*H$7</f>
        <v>4902187.5</v>
      </c>
      <c r="I224" s="243">
        <f t="shared" si="30"/>
        <v>1634062.5</v>
      </c>
      <c r="J224" s="243">
        <f t="shared" si="30"/>
        <v>147065.625</v>
      </c>
      <c r="K224" s="243">
        <f t="shared" si="30"/>
        <v>1122395.548124681</v>
      </c>
      <c r="L224" s="243">
        <f t="shared" si="30"/>
        <v>1122395.548124681</v>
      </c>
      <c r="M224" s="243">
        <f t="shared" si="30"/>
        <v>1634062.5</v>
      </c>
      <c r="N224" s="243">
        <f t="shared" si="30"/>
        <v>4902187.5</v>
      </c>
      <c r="O224" s="243">
        <f t="shared" si="30"/>
        <v>6536250</v>
      </c>
      <c r="P224" s="244"/>
      <c r="Q224" s="243"/>
      <c r="R224" s="243"/>
      <c r="S224" s="245"/>
      <c r="T224" s="246">
        <f>F224+P224+S224</f>
        <v>163406250</v>
      </c>
      <c r="U224" s="243">
        <f>$T224*U$7</f>
        <v>8987343.75</v>
      </c>
      <c r="V224" s="243">
        <f>$T224*V$7</f>
        <v>3268125</v>
      </c>
      <c r="W224" s="243">
        <v>5000</v>
      </c>
      <c r="X224" s="243">
        <v>2500</v>
      </c>
      <c r="Y224" s="243">
        <v>5000</v>
      </c>
      <c r="Z224" s="243">
        <v>2500</v>
      </c>
      <c r="AA224" s="243">
        <v>2500</v>
      </c>
      <c r="AB224" s="243">
        <f>$T224*AB$7</f>
        <v>81703.125</v>
      </c>
      <c r="AC224" s="243">
        <f>$T224*AC$7</f>
        <v>326812.5</v>
      </c>
      <c r="AD224" s="243">
        <v>9604</v>
      </c>
      <c r="AE224" s="243">
        <v>20250</v>
      </c>
      <c r="AF224" s="247">
        <v>0</v>
      </c>
      <c r="AG224" s="247">
        <v>0</v>
      </c>
      <c r="AH224" s="247">
        <v>0</v>
      </c>
      <c r="AI224" s="243">
        <f>$T224*AI$7</f>
        <v>326812.5</v>
      </c>
      <c r="AJ224" s="243">
        <v>2000</v>
      </c>
      <c r="AK224" s="243">
        <f>$T224*AK$7</f>
        <v>32681.25</v>
      </c>
      <c r="AL224" s="243">
        <f>$T224*AL$7</f>
        <v>490218.75</v>
      </c>
      <c r="AM224" s="247">
        <v>0</v>
      </c>
      <c r="AN224" s="247">
        <v>0</v>
      </c>
      <c r="AO224" s="247">
        <v>0</v>
      </c>
      <c r="AP224" s="243">
        <f>$T224*AP$7</f>
        <v>3268125</v>
      </c>
      <c r="AQ224" s="243">
        <v>2000</v>
      </c>
      <c r="AR224" s="243">
        <v>2000</v>
      </c>
      <c r="AS224" s="243">
        <f>$T224*AS$7</f>
        <v>326812.5</v>
      </c>
      <c r="AT224" s="247">
        <v>0</v>
      </c>
      <c r="AU224" s="243">
        <f>$T224*AU$7</f>
        <v>2451093.75</v>
      </c>
      <c r="AV224" s="243">
        <f>$T224*AV$7</f>
        <v>6536250</v>
      </c>
      <c r="AW224" s="248">
        <f>SUM(U224:AV224)</f>
        <v>26149332.125</v>
      </c>
      <c r="AX224" s="249">
        <f>(F224+P224+S224+AW224)*AY224*AZ224</f>
        <v>68240009.564999998</v>
      </c>
      <c r="AY224" s="250">
        <v>3</v>
      </c>
      <c r="AZ224" s="251">
        <v>0.12</v>
      </c>
      <c r="BA224" s="252">
        <f>F224+P224+S224+AW224+AX224</f>
        <v>257795591.69</v>
      </c>
    </row>
    <row r="225" spans="2:53" x14ac:dyDescent="0.3">
      <c r="C225" s="230"/>
      <c r="E225" s="231"/>
      <c r="F225" s="194">
        <f>F224/$C$189</f>
        <v>415.7919847328244</v>
      </c>
      <c r="P225" s="170">
        <f>P224/$C$189</f>
        <v>0</v>
      </c>
      <c r="S225" s="170">
        <f>S224/$C$189</f>
        <v>0</v>
      </c>
      <c r="AW225" s="170">
        <f>AW224/$C$189</f>
        <v>66.537740776081421</v>
      </c>
      <c r="AX225" s="170">
        <f>AX224/$C$189</f>
        <v>173.63870118320611</v>
      </c>
      <c r="BA225" s="170">
        <f>BA224/$C$189</f>
        <v>655.96842669211196</v>
      </c>
    </row>
    <row r="226" spans="2:53" x14ac:dyDescent="0.3">
      <c r="C226" s="230"/>
      <c r="E226" s="231"/>
      <c r="F226" s="194"/>
      <c r="P226" s="170">
        <f>P225+F225</f>
        <v>415.7919847328244</v>
      </c>
    </row>
    <row r="227" spans="2:53" ht="17.25" thickBot="1" x14ac:dyDescent="0.35"/>
    <row r="228" spans="2:53" ht="28.5" x14ac:dyDescent="0.3">
      <c r="B228" s="266" t="s">
        <v>358</v>
      </c>
      <c r="C228" s="267">
        <v>393000</v>
      </c>
      <c r="D228" s="268"/>
      <c r="E228" s="269"/>
      <c r="F228" s="270"/>
      <c r="G228" s="271"/>
      <c r="H228" s="271"/>
      <c r="I228" s="271"/>
      <c r="J228" s="271"/>
      <c r="K228" s="271"/>
      <c r="L228" s="271"/>
      <c r="M228" s="271"/>
      <c r="N228" s="271"/>
      <c r="O228" s="271"/>
      <c r="P228" s="271"/>
      <c r="Q228" s="271"/>
      <c r="R228" s="271"/>
      <c r="S228" s="271"/>
      <c r="T228" s="271"/>
      <c r="U228" s="271"/>
      <c r="V228" s="271"/>
      <c r="W228" s="271"/>
      <c r="X228" s="271"/>
      <c r="Y228" s="271"/>
      <c r="Z228" s="271"/>
      <c r="AA228" s="271"/>
      <c r="AB228" s="271"/>
      <c r="AC228" s="271"/>
      <c r="AD228" s="271"/>
      <c r="AE228" s="271"/>
      <c r="AF228" s="271"/>
      <c r="AG228" s="271"/>
      <c r="AH228" s="271"/>
      <c r="AI228" s="271"/>
      <c r="AJ228" s="271"/>
      <c r="AK228" s="271"/>
      <c r="AL228" s="271"/>
      <c r="AM228" s="271"/>
      <c r="AN228" s="271"/>
      <c r="AO228" s="271"/>
      <c r="AP228" s="271"/>
      <c r="AQ228" s="271"/>
      <c r="AR228" s="271"/>
      <c r="AS228" s="271"/>
      <c r="AT228" s="271"/>
      <c r="AU228" s="271"/>
      <c r="AV228" s="271"/>
      <c r="AW228" s="271"/>
      <c r="AX228" s="271"/>
      <c r="AY228" s="271"/>
      <c r="AZ228" s="272"/>
      <c r="BA228" s="261"/>
    </row>
    <row r="229" spans="2:53" ht="4.5" customHeight="1" x14ac:dyDescent="0.3">
      <c r="B229" s="221"/>
      <c r="C229" s="230"/>
      <c r="E229" s="231"/>
      <c r="F229" s="194"/>
      <c r="BA229" s="224"/>
    </row>
    <row r="230" spans="2:53" x14ac:dyDescent="0.3">
      <c r="B230" s="225" t="s">
        <v>317</v>
      </c>
      <c r="C230" s="226"/>
      <c r="D230" s="227"/>
      <c r="E230" s="233"/>
      <c r="F230" s="234"/>
      <c r="G230" s="229"/>
      <c r="H230" s="229"/>
      <c r="I230" s="229"/>
      <c r="J230" s="229"/>
      <c r="K230" s="229"/>
      <c r="L230" s="229"/>
      <c r="M230" s="229"/>
      <c r="N230" s="229"/>
      <c r="O230" s="229"/>
      <c r="P230" s="229"/>
      <c r="Q230" s="229"/>
      <c r="R230" s="229"/>
      <c r="S230" s="229"/>
      <c r="T230" s="229"/>
      <c r="U230" s="229"/>
      <c r="V230" s="229"/>
      <c r="W230" s="229"/>
      <c r="X230" s="229"/>
      <c r="Y230" s="229"/>
      <c r="Z230" s="229"/>
      <c r="AA230" s="229"/>
      <c r="AB230" s="229"/>
      <c r="AC230" s="229"/>
      <c r="AD230" s="229"/>
      <c r="AE230" s="229"/>
      <c r="AF230" s="229"/>
      <c r="AG230" s="229"/>
      <c r="AH230" s="229"/>
      <c r="AI230" s="229"/>
      <c r="AJ230" s="229"/>
      <c r="AK230" s="229"/>
      <c r="AL230" s="229"/>
      <c r="AM230" s="229"/>
      <c r="AN230" s="229"/>
      <c r="AO230" s="229"/>
      <c r="AP230" s="229"/>
      <c r="AQ230" s="229"/>
      <c r="AR230" s="229"/>
      <c r="AS230" s="229"/>
      <c r="AT230" s="229"/>
      <c r="AU230" s="229"/>
      <c r="AV230" s="229"/>
      <c r="AW230" s="229"/>
      <c r="AX230" s="229"/>
      <c r="AY230" s="229"/>
      <c r="BA230" s="224"/>
    </row>
    <row r="231" spans="2:53" x14ac:dyDescent="0.3">
      <c r="B231" s="221" t="s">
        <v>318</v>
      </c>
      <c r="C231" s="273">
        <v>60000</v>
      </c>
      <c r="D231" s="168" t="s">
        <v>316</v>
      </c>
      <c r="E231" s="231">
        <v>8</v>
      </c>
      <c r="F231" s="194">
        <f t="shared" ref="F231:F235" si="31">E231*C231</f>
        <v>480000</v>
      </c>
      <c r="BA231" s="224"/>
    </row>
    <row r="232" spans="2:53" x14ac:dyDescent="0.3">
      <c r="B232" s="221" t="s">
        <v>359</v>
      </c>
      <c r="C232" s="273">
        <f>C241</f>
        <v>243219</v>
      </c>
      <c r="D232" s="168" t="s">
        <v>316</v>
      </c>
      <c r="E232" s="231">
        <v>12</v>
      </c>
      <c r="F232" s="194">
        <f t="shared" si="31"/>
        <v>2918628</v>
      </c>
      <c r="BA232" s="224"/>
    </row>
    <row r="233" spans="2:53" x14ac:dyDescent="0.3">
      <c r="B233" s="221" t="s">
        <v>319</v>
      </c>
      <c r="C233" s="273">
        <f>160000+77398</f>
        <v>237398</v>
      </c>
      <c r="D233" s="168" t="s">
        <v>316</v>
      </c>
      <c r="E233" s="231">
        <v>2</v>
      </c>
      <c r="F233" s="194">
        <f t="shared" si="31"/>
        <v>474796</v>
      </c>
      <c r="BA233" s="224"/>
    </row>
    <row r="234" spans="2:53" ht="33" x14ac:dyDescent="0.3">
      <c r="B234" s="221" t="s">
        <v>336</v>
      </c>
      <c r="C234" s="273">
        <v>51000</v>
      </c>
      <c r="D234" s="168" t="s">
        <v>316</v>
      </c>
      <c r="E234" s="231">
        <v>1.5</v>
      </c>
      <c r="F234" s="194">
        <f t="shared" si="31"/>
        <v>76500</v>
      </c>
      <c r="BA234" s="224"/>
    </row>
    <row r="235" spans="2:53" x14ac:dyDescent="0.3">
      <c r="B235" s="221" t="s">
        <v>337</v>
      </c>
      <c r="C235" s="273">
        <v>1</v>
      </c>
      <c r="D235" s="168" t="s">
        <v>150</v>
      </c>
      <c r="E235" s="232">
        <v>75000</v>
      </c>
      <c r="F235" s="194">
        <f t="shared" si="31"/>
        <v>75000</v>
      </c>
      <c r="BA235" s="224"/>
    </row>
    <row r="236" spans="2:53" ht="33" x14ac:dyDescent="0.3">
      <c r="B236" s="221" t="s">
        <v>350</v>
      </c>
      <c r="C236" s="273">
        <v>1</v>
      </c>
      <c r="D236" s="168" t="s">
        <v>150</v>
      </c>
      <c r="E236" s="232">
        <v>300000</v>
      </c>
      <c r="F236" s="194">
        <f>E236*C236</f>
        <v>300000</v>
      </c>
      <c r="BA236" s="224"/>
    </row>
    <row r="237" spans="2:53" x14ac:dyDescent="0.3">
      <c r="B237" s="221"/>
      <c r="C237" s="230"/>
      <c r="E237" s="231"/>
      <c r="F237" s="194"/>
      <c r="BA237" s="224"/>
    </row>
    <row r="238" spans="2:53" x14ac:dyDescent="0.3">
      <c r="B238" s="225" t="s">
        <v>321</v>
      </c>
      <c r="C238" s="226"/>
      <c r="D238" s="227"/>
      <c r="E238" s="233"/>
      <c r="F238" s="234"/>
      <c r="G238" s="229"/>
      <c r="H238" s="229"/>
      <c r="I238" s="229"/>
      <c r="J238" s="229"/>
      <c r="K238" s="229"/>
      <c r="L238" s="229"/>
      <c r="M238" s="229"/>
      <c r="N238" s="229"/>
      <c r="O238" s="229"/>
      <c r="P238" s="229"/>
      <c r="Q238" s="229"/>
      <c r="R238" s="229"/>
      <c r="S238" s="229"/>
      <c r="T238" s="229"/>
      <c r="U238" s="229"/>
      <c r="V238" s="229"/>
      <c r="W238" s="229"/>
      <c r="X238" s="229"/>
      <c r="Y238" s="229"/>
      <c r="Z238" s="229"/>
      <c r="AA238" s="229"/>
      <c r="AB238" s="229"/>
      <c r="AC238" s="229"/>
      <c r="AD238" s="229"/>
      <c r="AE238" s="229"/>
      <c r="AF238" s="229"/>
      <c r="AG238" s="229"/>
      <c r="AH238" s="229"/>
      <c r="AI238" s="229"/>
      <c r="AJ238" s="229"/>
      <c r="AK238" s="229"/>
      <c r="AL238" s="229"/>
      <c r="AM238" s="229"/>
      <c r="AN238" s="229"/>
      <c r="AO238" s="229"/>
      <c r="AP238" s="229"/>
      <c r="AQ238" s="229"/>
      <c r="AR238" s="229"/>
      <c r="AS238" s="229"/>
      <c r="AT238" s="229"/>
      <c r="AU238" s="229"/>
      <c r="AV238" s="229"/>
      <c r="AW238" s="229"/>
      <c r="AX238" s="229"/>
      <c r="AY238" s="229"/>
      <c r="BA238" s="224"/>
    </row>
    <row r="239" spans="2:53" x14ac:dyDescent="0.3">
      <c r="B239" s="221" t="s">
        <v>351</v>
      </c>
      <c r="C239" s="230">
        <v>393000</v>
      </c>
      <c r="D239" s="168" t="s">
        <v>316</v>
      </c>
      <c r="E239" s="232"/>
      <c r="F239" s="194">
        <f t="shared" ref="F239:F242" si="32">E239*C239</f>
        <v>0</v>
      </c>
      <c r="BA239" s="224"/>
    </row>
    <row r="240" spans="2:53" x14ac:dyDescent="0.3">
      <c r="B240" s="236" t="s">
        <v>357</v>
      </c>
      <c r="C240" s="230">
        <v>149781</v>
      </c>
      <c r="D240" s="168" t="s">
        <v>316</v>
      </c>
      <c r="E240" s="232">
        <v>425</v>
      </c>
      <c r="F240" s="194">
        <f t="shared" si="32"/>
        <v>63656925</v>
      </c>
      <c r="BA240" s="224"/>
    </row>
    <row r="241" spans="2:53" x14ac:dyDescent="0.3">
      <c r="B241" s="236" t="s">
        <v>334</v>
      </c>
      <c r="C241" s="230">
        <f>C239-C240</f>
        <v>243219</v>
      </c>
      <c r="D241" s="168" t="s">
        <v>316</v>
      </c>
      <c r="E241" s="232">
        <v>250</v>
      </c>
      <c r="F241" s="194">
        <f t="shared" si="32"/>
        <v>60804750</v>
      </c>
      <c r="BA241" s="224"/>
    </row>
    <row r="242" spans="2:53" x14ac:dyDescent="0.3">
      <c r="B242" s="236"/>
      <c r="C242" s="230"/>
      <c r="D242" s="168" t="s">
        <v>316</v>
      </c>
      <c r="E242" s="232">
        <v>400</v>
      </c>
      <c r="F242" s="194">
        <f t="shared" si="32"/>
        <v>0</v>
      </c>
      <c r="BA242" s="224"/>
    </row>
    <row r="243" spans="2:53" x14ac:dyDescent="0.3">
      <c r="B243" s="263" t="s">
        <v>352</v>
      </c>
      <c r="C243" s="230">
        <v>1</v>
      </c>
      <c r="D243" s="168" t="s">
        <v>150</v>
      </c>
      <c r="E243" s="232"/>
      <c r="F243" s="264" t="s">
        <v>342</v>
      </c>
      <c r="BA243" s="224"/>
    </row>
    <row r="244" spans="2:53" x14ac:dyDescent="0.3">
      <c r="B244" s="265" t="s">
        <v>343</v>
      </c>
      <c r="C244" s="230">
        <v>1</v>
      </c>
      <c r="D244" s="168" t="s">
        <v>150</v>
      </c>
      <c r="E244" s="232"/>
      <c r="F244" s="264" t="s">
        <v>342</v>
      </c>
      <c r="BA244" s="224"/>
    </row>
    <row r="245" spans="2:53" x14ac:dyDescent="0.3">
      <c r="B245" s="221" t="s">
        <v>353</v>
      </c>
      <c r="C245" s="230">
        <v>1</v>
      </c>
      <c r="D245" s="168" t="s">
        <v>150</v>
      </c>
      <c r="E245" s="232"/>
      <c r="F245" s="264" t="s">
        <v>342</v>
      </c>
      <c r="BA245" s="224"/>
    </row>
    <row r="246" spans="2:53" ht="30" x14ac:dyDescent="0.3">
      <c r="B246" s="235" t="s">
        <v>360</v>
      </c>
      <c r="C246" s="230">
        <v>1</v>
      </c>
      <c r="D246" s="168" t="s">
        <v>150</v>
      </c>
      <c r="E246" s="232">
        <v>12500000</v>
      </c>
      <c r="F246" s="194">
        <f t="shared" ref="F246" si="33">E246*C246</f>
        <v>12500000</v>
      </c>
      <c r="BA246" s="224"/>
    </row>
    <row r="247" spans="2:53" outlineLevel="1" x14ac:dyDescent="0.3">
      <c r="B247" s="221" t="s">
        <v>326</v>
      </c>
      <c r="C247" s="230">
        <v>1</v>
      </c>
      <c r="D247" s="168" t="s">
        <v>150</v>
      </c>
      <c r="E247" s="232">
        <v>9500000</v>
      </c>
      <c r="F247" s="194"/>
      <c r="BA247" s="224"/>
    </row>
    <row r="248" spans="2:53" outlineLevel="1" x14ac:dyDescent="0.3">
      <c r="B248" s="221" t="s">
        <v>355</v>
      </c>
      <c r="C248" s="230">
        <v>250000</v>
      </c>
      <c r="D248" s="168" t="s">
        <v>316</v>
      </c>
      <c r="E248" s="231">
        <v>12</v>
      </c>
      <c r="F248" s="194"/>
      <c r="BA248" s="224"/>
    </row>
    <row r="249" spans="2:53" x14ac:dyDescent="0.3">
      <c r="B249" s="221"/>
      <c r="C249" s="230"/>
      <c r="E249" s="232"/>
      <c r="F249" s="194"/>
      <c r="BA249" s="224"/>
    </row>
    <row r="250" spans="2:53" ht="26.25" thickBot="1" x14ac:dyDescent="0.4">
      <c r="B250" s="238" t="s">
        <v>328</v>
      </c>
      <c r="C250" s="239"/>
      <c r="D250" s="240"/>
      <c r="E250" s="241"/>
      <c r="F250" s="242">
        <f>SUM(F230:F249)</f>
        <v>141286599</v>
      </c>
      <c r="G250" s="243">
        <f>$F250*G$7</f>
        <v>7064329.9500000002</v>
      </c>
      <c r="H250" s="243">
        <f t="shared" ref="H250:O250" si="34">$F250*H$7</f>
        <v>4238597.97</v>
      </c>
      <c r="I250" s="243">
        <f t="shared" si="34"/>
        <v>1412865.99</v>
      </c>
      <c r="J250" s="243">
        <f t="shared" si="34"/>
        <v>127157.9391</v>
      </c>
      <c r="K250" s="243">
        <f t="shared" si="34"/>
        <v>970461.34849356744</v>
      </c>
      <c r="L250" s="243">
        <f t="shared" si="34"/>
        <v>970461.34849356744</v>
      </c>
      <c r="M250" s="243">
        <f t="shared" si="34"/>
        <v>1412865.99</v>
      </c>
      <c r="N250" s="243">
        <f t="shared" si="34"/>
        <v>4238597.97</v>
      </c>
      <c r="O250" s="243">
        <f t="shared" si="34"/>
        <v>5651463.96</v>
      </c>
      <c r="P250" s="244"/>
      <c r="Q250" s="243"/>
      <c r="R250" s="243"/>
      <c r="S250" s="245"/>
      <c r="T250" s="246">
        <f>F250+P250+S250</f>
        <v>141286599</v>
      </c>
      <c r="U250" s="243">
        <f>$T250*U$7</f>
        <v>7770762.9450000003</v>
      </c>
      <c r="V250" s="243">
        <f>$T250*V$7</f>
        <v>2825731.98</v>
      </c>
      <c r="W250" s="243">
        <v>5000</v>
      </c>
      <c r="X250" s="243">
        <v>2500</v>
      </c>
      <c r="Y250" s="243">
        <v>5000</v>
      </c>
      <c r="Z250" s="243">
        <v>2500</v>
      </c>
      <c r="AA250" s="243">
        <v>2500</v>
      </c>
      <c r="AB250" s="243">
        <f>$T250*AB$7</f>
        <v>70643.299500000008</v>
      </c>
      <c r="AC250" s="243">
        <f>$T250*AC$7</f>
        <v>282573.19800000003</v>
      </c>
      <c r="AD250" s="243">
        <v>9604</v>
      </c>
      <c r="AE250" s="243">
        <v>20250</v>
      </c>
      <c r="AF250" s="247">
        <v>0</v>
      </c>
      <c r="AG250" s="247">
        <v>0</v>
      </c>
      <c r="AH250" s="247">
        <v>0</v>
      </c>
      <c r="AI250" s="243">
        <f>$T250*AI$7</f>
        <v>282573.19800000003</v>
      </c>
      <c r="AJ250" s="243">
        <v>2000</v>
      </c>
      <c r="AK250" s="243">
        <f>$T250*AK$7</f>
        <v>28257.319800000001</v>
      </c>
      <c r="AL250" s="243">
        <f>$T250*AL$7</f>
        <v>423859.79700000002</v>
      </c>
      <c r="AM250" s="247">
        <v>0</v>
      </c>
      <c r="AN250" s="247">
        <v>0</v>
      </c>
      <c r="AO250" s="247">
        <v>0</v>
      </c>
      <c r="AP250" s="243">
        <f>$T250*AP$7</f>
        <v>2825731.98</v>
      </c>
      <c r="AQ250" s="243">
        <v>2000</v>
      </c>
      <c r="AR250" s="243">
        <v>2000</v>
      </c>
      <c r="AS250" s="243">
        <f>$T250*AS$7</f>
        <v>282573.19800000003</v>
      </c>
      <c r="AT250" s="247">
        <v>0</v>
      </c>
      <c r="AU250" s="243">
        <f>$T250*AU$7</f>
        <v>2119298.9849999999</v>
      </c>
      <c r="AV250" s="243">
        <f>$T250*AV$7</f>
        <v>5651463.96</v>
      </c>
      <c r="AW250" s="248">
        <f>SUM(U250:AV250)</f>
        <v>22616823.860300004</v>
      </c>
      <c r="AX250" s="249">
        <f>(F250+P250+S250+AW250)*AY250*AZ250</f>
        <v>59005232.229708001</v>
      </c>
      <c r="AY250" s="250">
        <v>3</v>
      </c>
      <c r="AZ250" s="251">
        <v>0.12</v>
      </c>
      <c r="BA250" s="252">
        <f>F250+P250+S250+AW250+AX250</f>
        <v>222908655.09000802</v>
      </c>
    </row>
    <row r="251" spans="2:53" x14ac:dyDescent="0.3">
      <c r="C251" s="230"/>
      <c r="E251" s="231"/>
      <c r="F251" s="194">
        <f>F250/$C$189</f>
        <v>359.50788549618318</v>
      </c>
      <c r="P251" s="170">
        <f>P250/$C$189</f>
        <v>0</v>
      </c>
      <c r="S251" s="170">
        <f>S250/$C$189</f>
        <v>0</v>
      </c>
      <c r="AW251" s="170">
        <f>AW250/$C$189</f>
        <v>57.549170127989832</v>
      </c>
      <c r="AX251" s="170">
        <f>AX250/$C$189</f>
        <v>150.14054002470229</v>
      </c>
      <c r="BA251" s="170">
        <f>BA250/$C$189</f>
        <v>567.19759564887534</v>
      </c>
    </row>
    <row r="252" spans="2:53" x14ac:dyDescent="0.3">
      <c r="C252" s="230"/>
      <c r="E252" s="231"/>
      <c r="F252" s="194"/>
      <c r="P252" s="170">
        <f>P251+F251</f>
        <v>359.50788549618318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Bond Summary</vt:lpstr>
      <vt:lpstr>Step1 - Def and Mod Analysis</vt:lpstr>
      <vt:lpstr>Step2 - LRP Facility Strat</vt:lpstr>
      <vt:lpstr>Non Campus</vt:lpstr>
      <vt:lpstr>LRP Tier Groupings</vt:lpstr>
      <vt:lpstr>NPV Analysis</vt:lpstr>
      <vt:lpstr>Assumptions</vt:lpstr>
      <vt:lpstr>SS&amp;R</vt:lpstr>
      <vt:lpstr>BREAKOUT</vt:lpstr>
      <vt:lpstr>'LRP Tier Groupings'!Print_Titles</vt:lpstr>
      <vt:lpstr>'NPV Analysis'!Print_Titles</vt:lpstr>
      <vt:lpstr>'Step1 - Def and Mod Analysis'!Print_Titles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Matias Segura</dc:creator>
  <cp:lastModifiedBy>Matias Segura</cp:lastModifiedBy>
  <cp:lastPrinted>2022-06-29T00:33:11Z</cp:lastPrinted>
  <dcterms:created xsi:type="dcterms:W3CDTF">2022-06-23T17:10:34Z</dcterms:created>
  <dcterms:modified xsi:type="dcterms:W3CDTF">2022-06-29T22:33:08Z</dcterms:modified>
</cp:coreProperties>
</file>